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showInkAnnotation="0"/>
  <xr:revisionPtr revIDLastSave="0" documentId="8_{76F1A00E-F7E9-3C40-8730-EC5CEE221879}" xr6:coauthVersionLast="47" xr6:coauthVersionMax="47" xr10:uidLastSave="{00000000-0000-0000-0000-000000000000}"/>
  <bookViews>
    <workbookView xWindow="0" yWindow="0" windowWidth="0" windowHeight="0" xr2:uid="{00000000-000D-0000-FFFF-FFFF00000000}"/>
  </bookViews>
  <sheets>
    <sheet name="Home" sheetId="1" r:id="rId1"/>
    <sheet name="Reader" sheetId="2" r:id="rId2"/>
    <sheet name="Guide" sheetId="3" r:id="rId3"/>
    <sheet name="Projects" sheetId="4" r:id="rId4"/>
    <sheet name="Pass Definitions" sheetId="5" r:id="rId5"/>
    <sheet name="Pass Runs" sheetId="6" r:id="rId6"/>
    <sheet name="Instructions" sheetId="7" r:id="rId7"/>
    <sheet name="Record Revisions" sheetId="8" r:id="rId8"/>
    <sheet name="Sources" sheetId="9" r:id="rId9"/>
    <sheet name="Content Items" sheetId="10" r:id="rId10"/>
    <sheet name="Figure Contracts" sheetId="11" r:id="rId11"/>
    <sheet name="Asset Requirements" sheetId="12" r:id="rId12"/>
    <sheet name="File Revisions" sheetId="13" r:id="rId13"/>
    <sheet name="Figure Outputs" sheetId="14" r:id="rId14"/>
    <sheet name="Document Placements" sheetId="15" r:id="rId15"/>
    <sheet name="Dependencies" sheetId="16" r:id="rId16"/>
    <sheet name="Checks" sheetId="17" r:id="rId17"/>
    <sheet name="Issues" sheetId="18" r:id="rId18"/>
    <sheet name="Approvals" sheetId="19" r:id="rId19"/>
    <sheet name="Releases" sheetId="20" r:id="rId20"/>
    <sheet name="Table Dictionary" sheetId="21" r:id="rId21"/>
    <sheet name="Field Dictionary" sheetId="22" r:id="rId22"/>
    <sheet name="Source Support" sheetId="23" r:id="rId23"/>
    <sheet name="Figure Coverage" sheetId="24" r:id="rId24"/>
    <sheet name="Figure Requirements" sheetId="25" r:id="rId25"/>
    <sheet name="Requirement Fulfillment" sheetId="26" r:id="rId26"/>
    <sheet name="Run Artifacts" sheetId="27" r:id="rId27"/>
    <sheet name="Document Plans" sheetId="28" r:id="rId28"/>
    <sheet name="Templates" sheetId="29" r:id="rId29"/>
    <sheet name="Template Slots" sheetId="30" r:id="rId30"/>
    <sheet name="Rulesets" sheetId="31" r:id="rId31"/>
    <sheet name="Rules" sheetId="32" r:id="rId32"/>
    <sheet name="Themes" sheetId="33" r:id="rId33"/>
    <sheet name="Assembly Components" sheetId="34" r:id="rId34"/>
    <sheet name="Generation Requests" sheetId="35" r:id="rId35"/>
    <sheet name="Asset Lifecycle" sheetId="36" r:id="rId36"/>
    <sheet name="Release Gate" sheetId="37" r:id="rId37"/>
  </sheets>
  <definedNames>
    <definedName name="og_list_1">'Table Dictionary'!$A$7:$A$39</definedName>
    <definedName name="og_list_10">'Pass Definitions'!$C$7:$C$1200</definedName>
    <definedName name="og_list_11">'Table Dictionary'!$C$7:$C$1200</definedName>
    <definedName name="og_list_12">'Field Dictionary'!$C$7:$C$1200</definedName>
    <definedName name="og_list_13">'Content Items'!$C$7:$C$1200</definedName>
    <definedName name="og_list_14">'Figure Contracts'!$C$7:$C$1200</definedName>
    <definedName name="og_list_15">'Figure Outputs'!$C$7:$C$1200</definedName>
    <definedName name="og_list_16">'Document Plans'!$C$7:$C$1200</definedName>
    <definedName name="og_list_17">'Template Slots'!$C$7:$C$1200</definedName>
    <definedName name="og_list_18">Checks!$C$7:$C$1200</definedName>
    <definedName name="og_list_19">Instructions!$C$7:$C$1200</definedName>
    <definedName name="og_list_2">Releases!$C$7:$C$1200</definedName>
    <definedName name="og_list_20">Approvals!$C$7:$C$1200</definedName>
    <definedName name="og_list_21">Sources!$C$7:$C$1200</definedName>
    <definedName name="og_list_22">'Asset Requirements'!$C$7:$C$1200</definedName>
    <definedName name="og_list_23">'Asset Lifecycle'!$C$7:$C$1200</definedName>
    <definedName name="og_list_3">'Pass Runs'!$C$7:$C$1200</definedName>
    <definedName name="og_list_4">'File Revisions'!$C$7:$C$1200</definedName>
    <definedName name="og_list_5">Templates!$C$7:$C$1200</definedName>
    <definedName name="og_list_6">Rulesets!$C$7:$C$1200</definedName>
    <definedName name="og_list_7">Themes!$C$7:$C$1200</definedName>
    <definedName name="og_list_8">'Record Revisions'!$C$7:$C$1200</definedName>
    <definedName name="og_list_9">Projects!$C$7:$C$1200</definedName>
  </definedNames>
  <calcPr calcId="191028"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7" i="37" l="1"/>
  <c r="F97" i="37"/>
  <c r="H97" i="37"/>
  <c r="G97" i="37"/>
  <c r="C97" i="37"/>
  <c r="E97" i="37"/>
  <c r="D97" i="37"/>
  <c r="A96" i="37"/>
  <c r="F96" i="37"/>
  <c r="H96" i="37"/>
  <c r="G96" i="37"/>
  <c r="C96" i="37"/>
  <c r="E96" i="37"/>
  <c r="D96" i="37"/>
  <c r="A95" i="37"/>
  <c r="F95" i="37"/>
  <c r="H95" i="37"/>
  <c r="G95" i="37"/>
  <c r="C95" i="37"/>
  <c r="E95" i="37"/>
  <c r="D95" i="37"/>
  <c r="A94" i="37"/>
  <c r="F94" i="37"/>
  <c r="H94" i="37"/>
  <c r="G94" i="37"/>
  <c r="C94" i="37"/>
  <c r="E94" i="37"/>
  <c r="D94" i="37"/>
  <c r="A93" i="37"/>
  <c r="F93" i="37"/>
  <c r="H93" i="37"/>
  <c r="G93" i="37"/>
  <c r="C93" i="37"/>
  <c r="E93" i="37"/>
  <c r="D93" i="37"/>
  <c r="A92" i="37"/>
  <c r="F92" i="37"/>
  <c r="H92" i="37"/>
  <c r="G92" i="37"/>
  <c r="C92" i="37"/>
  <c r="E92" i="37"/>
  <c r="D92" i="37"/>
  <c r="A91" i="37"/>
  <c r="F91" i="37"/>
  <c r="H91" i="37"/>
  <c r="G91" i="37"/>
  <c r="C91" i="37"/>
  <c r="E91" i="37"/>
  <c r="D91" i="37"/>
  <c r="A90" i="37"/>
  <c r="F90" i="37"/>
  <c r="H90" i="37"/>
  <c r="G90" i="37"/>
  <c r="C90" i="37"/>
  <c r="E90" i="37"/>
  <c r="D90" i="37"/>
  <c r="A89" i="37"/>
  <c r="F89" i="37"/>
  <c r="H89" i="37"/>
  <c r="G89" i="37"/>
  <c r="C89" i="37"/>
  <c r="E89" i="37"/>
  <c r="D89" i="37"/>
  <c r="A88" i="37"/>
  <c r="F88" i="37"/>
  <c r="H88" i="37"/>
  <c r="G88" i="37"/>
  <c r="C88" i="37"/>
  <c r="E88" i="37"/>
  <c r="D88" i="37"/>
  <c r="A87" i="37"/>
  <c r="F87" i="37"/>
  <c r="H87" i="37"/>
  <c r="G87" i="37"/>
  <c r="C87" i="37"/>
  <c r="E87" i="37"/>
  <c r="D87" i="37"/>
  <c r="A86" i="37"/>
  <c r="F86" i="37"/>
  <c r="H86" i="37"/>
  <c r="G86" i="37"/>
  <c r="C86" i="37"/>
  <c r="E86" i="37"/>
  <c r="D86" i="37"/>
  <c r="A85" i="37"/>
  <c r="F85" i="37"/>
  <c r="H85" i="37"/>
  <c r="G85" i="37"/>
  <c r="C85" i="37"/>
  <c r="E85" i="37"/>
  <c r="D85" i="37"/>
  <c r="A84" i="37"/>
  <c r="F84" i="37"/>
  <c r="H84" i="37"/>
  <c r="G84" i="37"/>
  <c r="C84" i="37"/>
  <c r="E84" i="37"/>
  <c r="D84" i="37"/>
  <c r="A83" i="37"/>
  <c r="F83" i="37"/>
  <c r="H83" i="37"/>
  <c r="G83" i="37"/>
  <c r="C83" i="37"/>
  <c r="E83" i="37"/>
  <c r="D83" i="37"/>
  <c r="A82" i="37"/>
  <c r="F82" i="37"/>
  <c r="H82" i="37"/>
  <c r="G82" i="37"/>
  <c r="C82" i="37"/>
  <c r="E82" i="37"/>
  <c r="D82" i="37"/>
  <c r="A81" i="37"/>
  <c r="F81" i="37"/>
  <c r="H81" i="37"/>
  <c r="G81" i="37"/>
  <c r="C81" i="37"/>
  <c r="E81" i="37"/>
  <c r="D81" i="37"/>
  <c r="A80" i="37"/>
  <c r="F80" i="37"/>
  <c r="H80" i="37"/>
  <c r="G80" i="37"/>
  <c r="C80" i="37"/>
  <c r="E80" i="37"/>
  <c r="D80" i="37"/>
  <c r="A79" i="37"/>
  <c r="F79" i="37"/>
  <c r="H79" i="37"/>
  <c r="G79" i="37"/>
  <c r="C79" i="37"/>
  <c r="E79" i="37"/>
  <c r="D79" i="37"/>
  <c r="A78" i="37"/>
  <c r="F78" i="37"/>
  <c r="H78" i="37"/>
  <c r="G78" i="37"/>
  <c r="C78" i="37"/>
  <c r="E78" i="37"/>
  <c r="D78" i="37"/>
  <c r="A77" i="37"/>
  <c r="F77" i="37"/>
  <c r="H77" i="37"/>
  <c r="G77" i="37"/>
  <c r="C77" i="37"/>
  <c r="E77" i="37"/>
  <c r="D77" i="37"/>
  <c r="A76" i="37"/>
  <c r="F76" i="37"/>
  <c r="H76" i="37"/>
  <c r="G76" i="37"/>
  <c r="C76" i="37"/>
  <c r="E76" i="37"/>
  <c r="D76" i="37"/>
  <c r="A75" i="37"/>
  <c r="F75" i="37"/>
  <c r="H75" i="37"/>
  <c r="G75" i="37"/>
  <c r="C75" i="37"/>
  <c r="E75" i="37"/>
  <c r="D75" i="37"/>
  <c r="A74" i="37"/>
  <c r="F74" i="37"/>
  <c r="H74" i="37"/>
  <c r="G74" i="37"/>
  <c r="C74" i="37"/>
  <c r="E74" i="37"/>
  <c r="D74" i="37"/>
  <c r="A73" i="37"/>
  <c r="F73" i="37"/>
  <c r="H73" i="37"/>
  <c r="G73" i="37"/>
  <c r="C73" i="37"/>
  <c r="E73" i="37"/>
  <c r="D73" i="37"/>
  <c r="A72" i="37"/>
  <c r="F72" i="37"/>
  <c r="H72" i="37"/>
  <c r="G72" i="37"/>
  <c r="C72" i="37"/>
  <c r="E72" i="37"/>
  <c r="D72" i="37"/>
  <c r="A71" i="37"/>
  <c r="F71" i="37"/>
  <c r="H71" i="37"/>
  <c r="G71" i="37"/>
  <c r="C71" i="37"/>
  <c r="E71" i="37"/>
  <c r="D71" i="37"/>
  <c r="A70" i="37"/>
  <c r="F70" i="37"/>
  <c r="H70" i="37"/>
  <c r="G70" i="37"/>
  <c r="C70" i="37"/>
  <c r="E70" i="37"/>
  <c r="D70" i="37"/>
  <c r="A69" i="37"/>
  <c r="F69" i="37"/>
  <c r="H69" i="37"/>
  <c r="G69" i="37"/>
  <c r="C69" i="37"/>
  <c r="E69" i="37"/>
  <c r="D69" i="37"/>
  <c r="A68" i="37"/>
  <c r="F68" i="37"/>
  <c r="H68" i="37"/>
  <c r="G68" i="37"/>
  <c r="C68" i="37"/>
  <c r="E68" i="37"/>
  <c r="D68" i="37"/>
  <c r="A67" i="37"/>
  <c r="F67" i="37"/>
  <c r="H67" i="37"/>
  <c r="G67" i="37"/>
  <c r="C67" i="37"/>
  <c r="E67" i="37"/>
  <c r="D67" i="37"/>
  <c r="A66" i="37"/>
  <c r="F66" i="37"/>
  <c r="H66" i="37"/>
  <c r="G66" i="37"/>
  <c r="C66" i="37"/>
  <c r="E66" i="37"/>
  <c r="D66" i="37"/>
  <c r="A65" i="37"/>
  <c r="F65" i="37"/>
  <c r="H65" i="37"/>
  <c r="G65" i="37"/>
  <c r="C65" i="37"/>
  <c r="E65" i="37"/>
  <c r="D65" i="37"/>
  <c r="A64" i="37"/>
  <c r="F64" i="37"/>
  <c r="H64" i="37"/>
  <c r="G64" i="37"/>
  <c r="C64" i="37"/>
  <c r="E64" i="37"/>
  <c r="D64" i="37"/>
  <c r="A63" i="37"/>
  <c r="F63" i="37"/>
  <c r="H63" i="37"/>
  <c r="G63" i="37"/>
  <c r="C63" i="37"/>
  <c r="E63" i="37"/>
  <c r="D63" i="37"/>
  <c r="A62" i="37"/>
  <c r="F62" i="37"/>
  <c r="H62" i="37"/>
  <c r="G62" i="37"/>
  <c r="C62" i="37"/>
  <c r="E62" i="37"/>
  <c r="D62" i="37"/>
  <c r="A61" i="37"/>
  <c r="F61" i="37"/>
  <c r="H61" i="37"/>
  <c r="G61" i="37"/>
  <c r="C61" i="37"/>
  <c r="E61" i="37"/>
  <c r="D61" i="37"/>
  <c r="A60" i="37"/>
  <c r="F60" i="37"/>
  <c r="H60" i="37"/>
  <c r="G60" i="37"/>
  <c r="C60" i="37"/>
  <c r="E60" i="37"/>
  <c r="D60" i="37"/>
  <c r="A59" i="37"/>
  <c r="F59" i="37"/>
  <c r="H59" i="37"/>
  <c r="G59" i="37"/>
  <c r="C59" i="37"/>
  <c r="E59" i="37"/>
  <c r="D59" i="37"/>
  <c r="A58" i="37"/>
  <c r="F58" i="37"/>
  <c r="H58" i="37"/>
  <c r="G58" i="37"/>
  <c r="C58" i="37"/>
  <c r="E58" i="37"/>
  <c r="D58" i="37"/>
  <c r="A57" i="37"/>
  <c r="F57" i="37"/>
  <c r="H57" i="37"/>
  <c r="G57" i="37"/>
  <c r="C57" i="37"/>
  <c r="E57" i="37"/>
  <c r="D57" i="37"/>
  <c r="A56" i="37"/>
  <c r="F56" i="37"/>
  <c r="H56" i="37"/>
  <c r="G56" i="37"/>
  <c r="C56" i="37"/>
  <c r="E56" i="37"/>
  <c r="D56" i="37"/>
  <c r="A55" i="37"/>
  <c r="F55" i="37"/>
  <c r="H55" i="37"/>
  <c r="G55" i="37"/>
  <c r="C55" i="37"/>
  <c r="E55" i="37"/>
  <c r="D55" i="37"/>
  <c r="A54" i="37"/>
  <c r="F54" i="37"/>
  <c r="H54" i="37"/>
  <c r="G54" i="37"/>
  <c r="C54" i="37"/>
  <c r="E54" i="37"/>
  <c r="D54" i="37"/>
  <c r="A53" i="37"/>
  <c r="F53" i="37"/>
  <c r="H53" i="37"/>
  <c r="G53" i="37"/>
  <c r="C53" i="37"/>
  <c r="E53" i="37"/>
  <c r="D53" i="37"/>
  <c r="A52" i="37"/>
  <c r="F52" i="37"/>
  <c r="H52" i="37"/>
  <c r="G52" i="37"/>
  <c r="C52" i="37"/>
  <c r="E52" i="37"/>
  <c r="D52" i="37"/>
  <c r="A51" i="37"/>
  <c r="F51" i="37"/>
  <c r="H51" i="37"/>
  <c r="G51" i="37"/>
  <c r="C51" i="37"/>
  <c r="E51" i="37"/>
  <c r="D51" i="37"/>
  <c r="A50" i="37"/>
  <c r="F50" i="37"/>
  <c r="H50" i="37"/>
  <c r="G50" i="37"/>
  <c r="C50" i="37"/>
  <c r="E50" i="37"/>
  <c r="D50" i="37"/>
  <c r="A49" i="37"/>
  <c r="F49" i="37"/>
  <c r="H49" i="37"/>
  <c r="G49" i="37"/>
  <c r="C49" i="37"/>
  <c r="E49" i="37"/>
  <c r="D49" i="37"/>
  <c r="A48" i="37"/>
  <c r="F48" i="37"/>
  <c r="H48" i="37"/>
  <c r="G48" i="37"/>
  <c r="C48" i="37"/>
  <c r="E48" i="37"/>
  <c r="D48" i="37"/>
  <c r="A47" i="37"/>
  <c r="F47" i="37"/>
  <c r="H47" i="37"/>
  <c r="G47" i="37"/>
  <c r="C47" i="37"/>
  <c r="E47" i="37"/>
  <c r="D47" i="37"/>
  <c r="A46" i="37"/>
  <c r="F46" i="37"/>
  <c r="H46" i="37"/>
  <c r="G46" i="37"/>
  <c r="C46" i="37"/>
  <c r="E46" i="37"/>
  <c r="D46" i="37"/>
  <c r="A45" i="37"/>
  <c r="F45" i="37"/>
  <c r="H45" i="37"/>
  <c r="G45" i="37"/>
  <c r="C45" i="37"/>
  <c r="E45" i="37"/>
  <c r="D45" i="37"/>
  <c r="A44" i="37"/>
  <c r="F44" i="37"/>
  <c r="H44" i="37"/>
  <c r="G44" i="37"/>
  <c r="C44" i="37"/>
  <c r="E44" i="37"/>
  <c r="D44" i="37"/>
  <c r="A43" i="37"/>
  <c r="F43" i="37"/>
  <c r="H43" i="37"/>
  <c r="G43" i="37"/>
  <c r="C43" i="37"/>
  <c r="E43" i="37"/>
  <c r="D43" i="37"/>
  <c r="A42" i="37"/>
  <c r="F42" i="37"/>
  <c r="H42" i="37"/>
  <c r="G42" i="37"/>
  <c r="C42" i="37"/>
  <c r="E42" i="37"/>
  <c r="D42" i="37"/>
  <c r="A41" i="37"/>
  <c r="F41" i="37"/>
  <c r="H41" i="37"/>
  <c r="G41" i="37"/>
  <c r="C41" i="37"/>
  <c r="E41" i="37"/>
  <c r="D41" i="37"/>
  <c r="A40" i="37"/>
  <c r="F40" i="37"/>
  <c r="H40" i="37"/>
  <c r="G40" i="37"/>
  <c r="C40" i="37"/>
  <c r="E40" i="37"/>
  <c r="D40" i="37"/>
  <c r="A39" i="37"/>
  <c r="F39" i="37"/>
  <c r="H39" i="37"/>
  <c r="G39" i="37"/>
  <c r="C39" i="37"/>
  <c r="E39" i="37"/>
  <c r="D39" i="37"/>
  <c r="A38" i="37"/>
  <c r="F38" i="37"/>
  <c r="H38" i="37"/>
  <c r="G38" i="37"/>
  <c r="C38" i="37"/>
  <c r="E38" i="37"/>
  <c r="D38" i="37"/>
  <c r="A37" i="37"/>
  <c r="F37" i="37"/>
  <c r="H37" i="37"/>
  <c r="G37" i="37"/>
  <c r="C37" i="37"/>
  <c r="E37" i="37"/>
  <c r="D37" i="37"/>
  <c r="A36" i="37"/>
  <c r="F36" i="37"/>
  <c r="H36" i="37"/>
  <c r="G36" i="37"/>
  <c r="C36" i="37"/>
  <c r="E36" i="37"/>
  <c r="D36" i="37"/>
  <c r="A35" i="37"/>
  <c r="F35" i="37"/>
  <c r="H35" i="37"/>
  <c r="G35" i="37"/>
  <c r="C35" i="37"/>
  <c r="E35" i="37"/>
  <c r="D35" i="37"/>
  <c r="A34" i="37"/>
  <c r="F34" i="37"/>
  <c r="H34" i="37"/>
  <c r="G34" i="37"/>
  <c r="C34" i="37"/>
  <c r="E34" i="37"/>
  <c r="D34" i="37"/>
  <c r="A33" i="37"/>
  <c r="F33" i="37"/>
  <c r="H33" i="37"/>
  <c r="G33" i="37"/>
  <c r="C33" i="37"/>
  <c r="E33" i="37"/>
  <c r="D33" i="37"/>
  <c r="A32" i="37"/>
  <c r="F32" i="37"/>
  <c r="H32" i="37"/>
  <c r="G32" i="37"/>
  <c r="C32" i="37"/>
  <c r="E32" i="37"/>
  <c r="D32" i="37"/>
  <c r="A31" i="37"/>
  <c r="F31" i="37"/>
  <c r="H31" i="37"/>
  <c r="G31" i="37"/>
  <c r="C31" i="37"/>
  <c r="E31" i="37"/>
  <c r="D31" i="37"/>
  <c r="A30" i="37"/>
  <c r="F30" i="37"/>
  <c r="H30" i="37"/>
  <c r="G30" i="37"/>
  <c r="C30" i="37"/>
  <c r="E30" i="37"/>
  <c r="D30" i="37"/>
  <c r="A29" i="37"/>
  <c r="F29" i="37"/>
  <c r="H29" i="37"/>
  <c r="G29" i="37"/>
  <c r="C29" i="37"/>
  <c r="E29" i="37"/>
  <c r="D29" i="37"/>
  <c r="A28" i="37"/>
  <c r="F28" i="37"/>
  <c r="H28" i="37"/>
  <c r="G28" i="37"/>
  <c r="C28" i="37"/>
  <c r="E28" i="37"/>
  <c r="D28" i="37"/>
  <c r="A27" i="37"/>
  <c r="F27" i="37"/>
  <c r="H27" i="37"/>
  <c r="G27" i="37"/>
  <c r="C27" i="37"/>
  <c r="E27" i="37"/>
  <c r="D27" i="37"/>
  <c r="A26" i="37"/>
  <c r="F26" i="37"/>
  <c r="H26" i="37"/>
  <c r="G26" i="37"/>
  <c r="C26" i="37"/>
  <c r="E26" i="37"/>
  <c r="D26" i="37"/>
  <c r="A25" i="37"/>
  <c r="F25" i="37"/>
  <c r="H25" i="37"/>
  <c r="G25" i="37"/>
  <c r="C25" i="37"/>
  <c r="E25" i="37"/>
  <c r="D25" i="37"/>
  <c r="A24" i="37"/>
  <c r="F24" i="37"/>
  <c r="H24" i="37"/>
  <c r="G24" i="37"/>
  <c r="C24" i="37"/>
  <c r="E24" i="37"/>
  <c r="D24" i="37"/>
  <c r="A23" i="37"/>
  <c r="F23" i="37"/>
  <c r="H23" i="37"/>
  <c r="G23" i="37"/>
  <c r="C23" i="37"/>
  <c r="E23" i="37"/>
  <c r="D23" i="37"/>
  <c r="A22" i="37"/>
  <c r="F22" i="37"/>
  <c r="H22" i="37"/>
  <c r="G22" i="37"/>
  <c r="C22" i="37"/>
  <c r="E22" i="37"/>
  <c r="D22" i="37"/>
  <c r="A21" i="37"/>
  <c r="F21" i="37"/>
  <c r="H21" i="37"/>
  <c r="G21" i="37"/>
  <c r="C21" i="37"/>
  <c r="E21" i="37"/>
  <c r="D21" i="37"/>
  <c r="A20" i="37"/>
  <c r="F20" i="37"/>
  <c r="H20" i="37"/>
  <c r="G20" i="37"/>
  <c r="C20" i="37"/>
  <c r="E20" i="37"/>
  <c r="D20" i="37"/>
  <c r="A19" i="37"/>
  <c r="F19" i="37"/>
  <c r="H19" i="37"/>
  <c r="G19" i="37"/>
  <c r="C19" i="37"/>
  <c r="E19" i="37"/>
  <c r="D19" i="37"/>
  <c r="A18" i="37"/>
  <c r="F18" i="37"/>
  <c r="H18" i="37"/>
  <c r="G18" i="37"/>
  <c r="C18" i="37"/>
  <c r="E18" i="37"/>
  <c r="D18" i="37"/>
  <c r="A17" i="37"/>
  <c r="F17" i="37"/>
  <c r="H17" i="37"/>
  <c r="G17" i="37"/>
  <c r="C17" i="37"/>
  <c r="E17" i="37"/>
  <c r="D17" i="37"/>
  <c r="A16" i="37"/>
  <c r="F16" i="37"/>
  <c r="H16" i="37"/>
  <c r="G16" i="37"/>
  <c r="C16" i="37"/>
  <c r="E16" i="37"/>
  <c r="D16" i="37"/>
  <c r="A15" i="37"/>
  <c r="F15" i="37"/>
  <c r="H15" i="37"/>
  <c r="G15" i="37"/>
  <c r="C15" i="37"/>
  <c r="E15" i="37"/>
  <c r="D15" i="37"/>
  <c r="A14" i="37"/>
  <c r="F14" i="37"/>
  <c r="H14" i="37"/>
  <c r="G14" i="37"/>
  <c r="C14" i="37"/>
  <c r="E14" i="37"/>
  <c r="D14" i="37"/>
  <c r="A13" i="37"/>
  <c r="F13" i="37"/>
  <c r="H13" i="37"/>
  <c r="G13" i="37"/>
  <c r="C13" i="37"/>
  <c r="E13" i="37"/>
  <c r="D13" i="37"/>
  <c r="A12" i="37"/>
  <c r="F12" i="37"/>
  <c r="H12" i="37"/>
  <c r="G12" i="37"/>
  <c r="C12" i="37"/>
  <c r="E12" i="37"/>
  <c r="D12" i="37"/>
  <c r="A11" i="37"/>
  <c r="F11" i="37"/>
  <c r="H11" i="37"/>
  <c r="G11" i="37"/>
  <c r="C11" i="37"/>
  <c r="E11" i="37"/>
  <c r="D11" i="37"/>
  <c r="A10" i="37"/>
  <c r="F10" i="37"/>
  <c r="H10" i="37"/>
  <c r="G10" i="37"/>
  <c r="C10" i="37"/>
  <c r="E10" i="37"/>
  <c r="D10" i="37"/>
  <c r="A9" i="37"/>
  <c r="F9" i="37"/>
  <c r="H9" i="37"/>
  <c r="G9" i="37"/>
  <c r="C9" i="37"/>
  <c r="E9" i="37"/>
  <c r="D9" i="37"/>
  <c r="A8" i="37"/>
  <c r="F8" i="37"/>
  <c r="H8" i="37"/>
  <c r="G8" i="37"/>
  <c r="C8" i="37"/>
  <c r="E8" i="37"/>
  <c r="D8" i="37"/>
  <c r="A7" i="37"/>
  <c r="F7" i="37"/>
  <c r="H7" i="37"/>
  <c r="G7" i="37"/>
  <c r="C7" i="37"/>
  <c r="E7" i="37"/>
  <c r="D7" i="37"/>
  <c r="A6" i="37"/>
  <c r="F6" i="37"/>
  <c r="H6" i="37"/>
  <c r="G6" i="37"/>
  <c r="C6" i="37"/>
  <c r="E6" i="37"/>
  <c r="D6" i="37"/>
  <c r="A5" i="37"/>
  <c r="F5" i="37"/>
  <c r="H5" i="37"/>
  <c r="G5" i="37"/>
  <c r="C5" i="37"/>
  <c r="E5" i="37"/>
  <c r="D5" i="37"/>
  <c r="A4" i="37"/>
  <c r="F4" i="37"/>
  <c r="H4" i="37"/>
  <c r="G4" i="37"/>
  <c r="C4" i="37"/>
  <c r="E4" i="37"/>
  <c r="D4" i="37"/>
  <c r="A3" i="37"/>
  <c r="F3" i="37"/>
  <c r="H3" i="37"/>
  <c r="G3" i="37"/>
  <c r="C3" i="37"/>
  <c r="E3" i="37"/>
  <c r="D3" i="37"/>
  <c r="A2" i="37"/>
  <c r="F2" i="37"/>
  <c r="H2" i="37"/>
  <c r="G2" i="37"/>
  <c r="C2" i="37"/>
  <c r="E2" i="37"/>
  <c r="D2" i="37"/>
  <c r="J4" i="36"/>
  <c r="I4" i="36"/>
  <c r="H4" i="36"/>
  <c r="G4" i="36"/>
  <c r="F4" i="36"/>
  <c r="E4" i="36"/>
  <c r="D4" i="36"/>
  <c r="C4" i="36"/>
  <c r="B4" i="36"/>
  <c r="A4" i="36"/>
  <c r="B2" i="36"/>
  <c r="A2" i="36"/>
  <c r="N4" i="35"/>
  <c r="M4" i="35"/>
  <c r="L4" i="35"/>
  <c r="K4" i="35"/>
  <c r="J4" i="35"/>
  <c r="I4" i="35"/>
  <c r="H4" i="35"/>
  <c r="G4" i="35"/>
  <c r="F4" i="35"/>
  <c r="E4" i="35"/>
  <c r="D4" i="35"/>
  <c r="C4" i="35"/>
  <c r="B4" i="35"/>
  <c r="A4" i="35"/>
  <c r="B2" i="35"/>
  <c r="A2" i="35"/>
  <c r="O9" i="34"/>
  <c r="O8" i="34"/>
  <c r="O7" i="34"/>
  <c r="O4" i="34"/>
  <c r="N4" i="34"/>
  <c r="M4" i="34"/>
  <c r="L4" i="34"/>
  <c r="K4" i="34"/>
  <c r="J4" i="34"/>
  <c r="I4" i="34"/>
  <c r="H4" i="34"/>
  <c r="G4" i="34"/>
  <c r="F4" i="34"/>
  <c r="E4" i="34"/>
  <c r="D4" i="34"/>
  <c r="C4" i="34"/>
  <c r="B4" i="34"/>
  <c r="A4" i="34"/>
  <c r="B2" i="34"/>
  <c r="A2" i="34"/>
  <c r="J4" i="33"/>
  <c r="I4" i="33"/>
  <c r="H4" i="33"/>
  <c r="G4" i="33"/>
  <c r="F4" i="33"/>
  <c r="E4" i="33"/>
  <c r="D4" i="33"/>
  <c r="C4" i="33"/>
  <c r="B4" i="33"/>
  <c r="A4" i="33"/>
  <c r="B2" i="33"/>
  <c r="A2" i="33"/>
  <c r="K4" i="32"/>
  <c r="J4" i="32"/>
  <c r="I4" i="32"/>
  <c r="H4" i="32"/>
  <c r="G4" i="32"/>
  <c r="F4" i="32"/>
  <c r="E4" i="32"/>
  <c r="D4" i="32"/>
  <c r="C4" i="32"/>
  <c r="B4" i="32"/>
  <c r="A4" i="32"/>
  <c r="B2" i="32"/>
  <c r="A2" i="32"/>
  <c r="G4" i="31"/>
  <c r="F4" i="31"/>
  <c r="E4" i="31"/>
  <c r="D4" i="31"/>
  <c r="C4" i="31"/>
  <c r="B4" i="31"/>
  <c r="A4" i="31"/>
  <c r="B2" i="31"/>
  <c r="A2" i="31"/>
  <c r="M4" i="30"/>
  <c r="L4" i="30"/>
  <c r="K4" i="30"/>
  <c r="J4" i="30"/>
  <c r="I4" i="30"/>
  <c r="H4" i="30"/>
  <c r="G4" i="30"/>
  <c r="F4" i="30"/>
  <c r="E4" i="30"/>
  <c r="D4" i="30"/>
  <c r="C4" i="30"/>
  <c r="B4" i="30"/>
  <c r="A4" i="30"/>
  <c r="B2" i="30"/>
  <c r="A2" i="30"/>
  <c r="J4" i="29"/>
  <c r="I4" i="29"/>
  <c r="H4" i="29"/>
  <c r="G4" i="29"/>
  <c r="F4" i="29"/>
  <c r="E4" i="29"/>
  <c r="D4" i="29"/>
  <c r="C4" i="29"/>
  <c r="B4" i="29"/>
  <c r="A4" i="29"/>
  <c r="B2" i="29"/>
  <c r="A2" i="29"/>
  <c r="J4" i="28"/>
  <c r="I4" i="28"/>
  <c r="H4" i="28"/>
  <c r="G4" i="28"/>
  <c r="F4" i="28"/>
  <c r="E4" i="28"/>
  <c r="D4" i="28"/>
  <c r="C4" i="28"/>
  <c r="B4" i="28"/>
  <c r="A4" i="28"/>
  <c r="B2" i="28"/>
  <c r="A2" i="28"/>
  <c r="J4" i="27"/>
  <c r="I4" i="27"/>
  <c r="H4" i="27"/>
  <c r="G4" i="27"/>
  <c r="F4" i="27"/>
  <c r="E4" i="27"/>
  <c r="D4" i="27"/>
  <c r="C4" i="27"/>
  <c r="B4" i="27"/>
  <c r="A4" i="27"/>
  <c r="B2" i="27"/>
  <c r="A2" i="27"/>
  <c r="I4" i="26"/>
  <c r="H4" i="26"/>
  <c r="G4" i="26"/>
  <c r="F4" i="26"/>
  <c r="E4" i="26"/>
  <c r="D4" i="26"/>
  <c r="C4" i="26"/>
  <c r="B4" i="26"/>
  <c r="A4" i="26"/>
  <c r="B2" i="26"/>
  <c r="A2" i="26"/>
  <c r="I4" i="25"/>
  <c r="H4" i="25"/>
  <c r="G4" i="25"/>
  <c r="F4" i="25"/>
  <c r="E4" i="25"/>
  <c r="D4" i="25"/>
  <c r="C4" i="25"/>
  <c r="B4" i="25"/>
  <c r="A4" i="25"/>
  <c r="B2" i="25"/>
  <c r="A2" i="25"/>
  <c r="G4" i="24"/>
  <c r="F4" i="24"/>
  <c r="E4" i="24"/>
  <c r="D4" i="24"/>
  <c r="C4" i="24"/>
  <c r="B4" i="24"/>
  <c r="A4" i="24"/>
  <c r="B2" i="24"/>
  <c r="A2" i="24"/>
  <c r="I4" i="23"/>
  <c r="H4" i="23"/>
  <c r="G4" i="23"/>
  <c r="F4" i="23"/>
  <c r="E4" i="23"/>
  <c r="D4" i="23"/>
  <c r="C4" i="23"/>
  <c r="B4" i="23"/>
  <c r="A4" i="23"/>
  <c r="B2" i="23"/>
  <c r="A2" i="23"/>
  <c r="P4" i="22"/>
  <c r="O4" i="22"/>
  <c r="N4" i="22"/>
  <c r="M4" i="22"/>
  <c r="L4" i="22"/>
  <c r="K4" i="22"/>
  <c r="J4" i="22"/>
  <c r="I4" i="22"/>
  <c r="H4" i="22"/>
  <c r="G4" i="22"/>
  <c r="F4" i="22"/>
  <c r="E4" i="22"/>
  <c r="D4" i="22"/>
  <c r="C4" i="22"/>
  <c r="B4" i="22"/>
  <c r="A4" i="22"/>
  <c r="B2" i="22"/>
  <c r="A2" i="22"/>
  <c r="L4" i="21"/>
  <c r="K4" i="21"/>
  <c r="J4" i="21"/>
  <c r="I4" i="21"/>
  <c r="H4" i="21"/>
  <c r="G4" i="21"/>
  <c r="F4" i="21"/>
  <c r="E4" i="21"/>
  <c r="D4" i="21"/>
  <c r="C4" i="21"/>
  <c r="B4" i="21"/>
  <c r="A4" i="21"/>
  <c r="B2" i="21"/>
  <c r="A2" i="21"/>
  <c r="S9" i="20"/>
  <c r="R9" i="20"/>
  <c r="Q9" i="20"/>
  <c r="P9" i="20"/>
  <c r="O9" i="20"/>
  <c r="N9" i="20"/>
  <c r="L9" i="20"/>
  <c r="S8" i="20"/>
  <c r="R8" i="20"/>
  <c r="Q8" i="20"/>
  <c r="P8" i="20"/>
  <c r="O8" i="20"/>
  <c r="N8" i="20"/>
  <c r="L8" i="20"/>
  <c r="S7" i="20"/>
  <c r="R7" i="20"/>
  <c r="Q7" i="20"/>
  <c r="P7" i="20"/>
  <c r="O7" i="20"/>
  <c r="N7" i="20"/>
  <c r="L7" i="20"/>
  <c r="L4" i="20"/>
  <c r="K4" i="20"/>
  <c r="J4" i="20"/>
  <c r="I4" i="20"/>
  <c r="H4" i="20"/>
  <c r="G4" i="20"/>
  <c r="F4" i="20"/>
  <c r="E4" i="20"/>
  <c r="D4" i="20"/>
  <c r="C4" i="20"/>
  <c r="B4" i="20"/>
  <c r="A4" i="20"/>
  <c r="B2" i="20"/>
  <c r="A2" i="20"/>
  <c r="L4" i="19"/>
  <c r="K4" i="19"/>
  <c r="J4" i="19"/>
  <c r="I4" i="19"/>
  <c r="H4" i="19"/>
  <c r="G4" i="19"/>
  <c r="F4" i="19"/>
  <c r="E4" i="19"/>
  <c r="D4" i="19"/>
  <c r="C4" i="19"/>
  <c r="B4" i="19"/>
  <c r="A4" i="19"/>
  <c r="B2" i="19"/>
  <c r="A2" i="19"/>
  <c r="M4" i="18"/>
  <c r="L4" i="18"/>
  <c r="K4" i="18"/>
  <c r="J4" i="18"/>
  <c r="I4" i="18"/>
  <c r="H4" i="18"/>
  <c r="G4" i="18"/>
  <c r="F4" i="18"/>
  <c r="E4" i="18"/>
  <c r="D4" i="18"/>
  <c r="C4" i="18"/>
  <c r="B4" i="18"/>
  <c r="A4" i="18"/>
  <c r="B2" i="18"/>
  <c r="A2" i="18"/>
  <c r="M4" i="17"/>
  <c r="L4" i="17"/>
  <c r="K4" i="17"/>
  <c r="J4" i="17"/>
  <c r="I4" i="17"/>
  <c r="H4" i="17"/>
  <c r="G4" i="17"/>
  <c r="F4" i="17"/>
  <c r="E4" i="17"/>
  <c r="D4" i="17"/>
  <c r="C4" i="17"/>
  <c r="B4" i="17"/>
  <c r="A4" i="17"/>
  <c r="B2" i="17"/>
  <c r="A2" i="17"/>
  <c r="K4" i="16"/>
  <c r="J4" i="16"/>
  <c r="I4" i="16"/>
  <c r="H4" i="16"/>
  <c r="G4" i="16"/>
  <c r="F4" i="16"/>
  <c r="E4" i="16"/>
  <c r="D4" i="16"/>
  <c r="C4" i="16"/>
  <c r="B4" i="16"/>
  <c r="A4" i="16"/>
  <c r="B2" i="16"/>
  <c r="A2" i="16"/>
  <c r="O4" i="15"/>
  <c r="N4" i="15"/>
  <c r="M4" i="15"/>
  <c r="L4" i="15"/>
  <c r="K4" i="15"/>
  <c r="J4" i="15"/>
  <c r="I4" i="15"/>
  <c r="H4" i="15"/>
  <c r="G4" i="15"/>
  <c r="F4" i="15"/>
  <c r="E4" i="15"/>
  <c r="D4" i="15"/>
  <c r="C4" i="15"/>
  <c r="B4" i="15"/>
  <c r="A4" i="15"/>
  <c r="B2" i="15"/>
  <c r="A2" i="15"/>
  <c r="K4" i="14"/>
  <c r="J4" i="14"/>
  <c r="I4" i="14"/>
  <c r="H4" i="14"/>
  <c r="G4" i="14"/>
  <c r="F4" i="14"/>
  <c r="E4" i="14"/>
  <c r="D4" i="14"/>
  <c r="C4" i="14"/>
  <c r="B4" i="14"/>
  <c r="A4" i="14"/>
  <c r="B2" i="14"/>
  <c r="A2" i="14"/>
  <c r="M4" i="13"/>
  <c r="L4" i="13"/>
  <c r="K4" i="13"/>
  <c r="J4" i="13"/>
  <c r="I4" i="13"/>
  <c r="H4" i="13"/>
  <c r="G4" i="13"/>
  <c r="F4" i="13"/>
  <c r="E4" i="13"/>
  <c r="D4" i="13"/>
  <c r="C4" i="13"/>
  <c r="B4" i="13"/>
  <c r="A4" i="13"/>
  <c r="B2" i="13"/>
  <c r="A2" i="13"/>
  <c r="K4" i="12"/>
  <c r="J4" i="12"/>
  <c r="I4" i="12"/>
  <c r="H4" i="12"/>
  <c r="G4" i="12"/>
  <c r="F4" i="12"/>
  <c r="E4" i="12"/>
  <c r="D4" i="12"/>
  <c r="C4" i="12"/>
  <c r="B4" i="12"/>
  <c r="A4" i="12"/>
  <c r="B2" i="12"/>
  <c r="A2" i="12"/>
  <c r="K4" i="11"/>
  <c r="J4" i="11"/>
  <c r="I4" i="11"/>
  <c r="H4" i="11"/>
  <c r="G4" i="11"/>
  <c r="F4" i="11"/>
  <c r="E4" i="11"/>
  <c r="D4" i="11"/>
  <c r="C4" i="11"/>
  <c r="B4" i="11"/>
  <c r="A4" i="11"/>
  <c r="B2" i="11"/>
  <c r="A2" i="11"/>
  <c r="K4" i="10"/>
  <c r="J4" i="10"/>
  <c r="I4" i="10"/>
  <c r="H4" i="10"/>
  <c r="G4" i="10"/>
  <c r="F4" i="10"/>
  <c r="E4" i="10"/>
  <c r="D4" i="10"/>
  <c r="C4" i="10"/>
  <c r="B4" i="10"/>
  <c r="A4" i="10"/>
  <c r="B2" i="10"/>
  <c r="A2" i="10"/>
  <c r="K4" i="9"/>
  <c r="J4" i="9"/>
  <c r="I4" i="9"/>
  <c r="H4" i="9"/>
  <c r="G4" i="9"/>
  <c r="F4" i="9"/>
  <c r="E4" i="9"/>
  <c r="D4" i="9"/>
  <c r="C4" i="9"/>
  <c r="B4" i="9"/>
  <c r="A4" i="9"/>
  <c r="B2" i="9"/>
  <c r="A2" i="9"/>
  <c r="M4" i="8"/>
  <c r="L4" i="8"/>
  <c r="K4" i="8"/>
  <c r="J4" i="8"/>
  <c r="I4" i="8"/>
  <c r="H4" i="8"/>
  <c r="G4" i="8"/>
  <c r="F4" i="8"/>
  <c r="E4" i="8"/>
  <c r="D4" i="8"/>
  <c r="C4" i="8"/>
  <c r="B4" i="8"/>
  <c r="A4" i="8"/>
  <c r="B2" i="8"/>
  <c r="A2" i="8"/>
  <c r="M4" i="7"/>
  <c r="L4" i="7"/>
  <c r="K4" i="7"/>
  <c r="J4" i="7"/>
  <c r="I4" i="7"/>
  <c r="H4" i="7"/>
  <c r="G4" i="7"/>
  <c r="F4" i="7"/>
  <c r="E4" i="7"/>
  <c r="D4" i="7"/>
  <c r="C4" i="7"/>
  <c r="B4" i="7"/>
  <c r="A4" i="7"/>
  <c r="B2" i="7"/>
  <c r="A2" i="7"/>
  <c r="M4" i="6"/>
  <c r="L4" i="6"/>
  <c r="K4" i="6"/>
  <c r="J4" i="6"/>
  <c r="I4" i="6"/>
  <c r="H4" i="6"/>
  <c r="G4" i="6"/>
  <c r="F4" i="6"/>
  <c r="E4" i="6"/>
  <c r="D4" i="6"/>
  <c r="C4" i="6"/>
  <c r="B4" i="6"/>
  <c r="A4" i="6"/>
  <c r="B2" i="6"/>
  <c r="A2" i="6"/>
  <c r="L4" i="5"/>
  <c r="K4" i="5"/>
  <c r="J4" i="5"/>
  <c r="I4" i="5"/>
  <c r="H4" i="5"/>
  <c r="G4" i="5"/>
  <c r="F4" i="5"/>
  <c r="E4" i="5"/>
  <c r="D4" i="5"/>
  <c r="C4" i="5"/>
  <c r="B4" i="5"/>
  <c r="A4" i="5"/>
  <c r="B2" i="5"/>
  <c r="A2" i="5"/>
  <c r="O4" i="4"/>
  <c r="N4" i="4"/>
  <c r="M4" i="4"/>
  <c r="L4" i="4"/>
  <c r="K4" i="4"/>
  <c r="J4" i="4"/>
  <c r="I4" i="4"/>
  <c r="H4" i="4"/>
  <c r="G4" i="4"/>
  <c r="F4" i="4"/>
  <c r="E4" i="4"/>
  <c r="D4" i="4"/>
  <c r="C4" i="4"/>
  <c r="B4" i="4"/>
  <c r="A4" i="4"/>
  <c r="B2" i="4"/>
  <c r="A2" i="4"/>
  <c r="A2" i="3"/>
  <c r="B13" i="2"/>
  <c r="D13" i="2"/>
  <c r="E13" i="2"/>
  <c r="B26" i="2"/>
  <c r="C13" i="2"/>
  <c r="B27" i="2"/>
  <c r="B29" i="2"/>
  <c r="B28" i="2"/>
  <c r="B24" i="2"/>
  <c r="F24" i="2"/>
  <c r="D24" i="2"/>
  <c r="E24" i="2"/>
  <c r="C24" i="2"/>
  <c r="B23" i="2"/>
  <c r="F23" i="2"/>
  <c r="D23" i="2"/>
  <c r="E23" i="2"/>
  <c r="C23" i="2"/>
  <c r="B22" i="2"/>
  <c r="F22" i="2"/>
  <c r="D22" i="2"/>
  <c r="E22" i="2"/>
  <c r="C22" i="2"/>
  <c r="B21" i="2"/>
  <c r="F21" i="2"/>
  <c r="D21" i="2"/>
  <c r="E21" i="2"/>
  <c r="C21" i="2"/>
  <c r="B20" i="2"/>
  <c r="F20" i="2"/>
  <c r="D20" i="2"/>
  <c r="E20" i="2"/>
  <c r="C20" i="2"/>
  <c r="B19" i="2"/>
  <c r="F19" i="2"/>
  <c r="D19" i="2"/>
  <c r="E19" i="2"/>
  <c r="C19" i="2"/>
  <c r="B18" i="2"/>
  <c r="F18" i="2"/>
  <c r="D18" i="2"/>
  <c r="E18" i="2"/>
  <c r="C18" i="2"/>
  <c r="B17" i="2"/>
  <c r="F17" i="2"/>
  <c r="D17" i="2"/>
  <c r="E17" i="2"/>
  <c r="C17" i="2"/>
  <c r="B16" i="2"/>
  <c r="F16" i="2"/>
  <c r="D16" i="2"/>
  <c r="E16" i="2"/>
  <c r="C16" i="2"/>
  <c r="B15" i="2"/>
  <c r="F15" i="2"/>
  <c r="D15" i="2"/>
  <c r="E15" i="2"/>
  <c r="C15" i="2"/>
  <c r="B14" i="2"/>
  <c r="F14" i="2"/>
  <c r="D14" i="2"/>
  <c r="E14" i="2"/>
  <c r="C14" i="2"/>
  <c r="F13" i="2"/>
  <c r="B12" i="2"/>
  <c r="F12" i="2"/>
  <c r="D12" i="2"/>
  <c r="E12" i="2"/>
  <c r="C12" i="2"/>
  <c r="B11" i="2"/>
  <c r="F11" i="2"/>
  <c r="D11" i="2"/>
  <c r="E11" i="2"/>
  <c r="C11" i="2"/>
  <c r="B10" i="2"/>
  <c r="F10" i="2"/>
  <c r="D10" i="2"/>
  <c r="E10" i="2"/>
  <c r="C10" i="2"/>
  <c r="B9" i="2"/>
  <c r="F9" i="2"/>
  <c r="D9" i="2"/>
  <c r="E9" i="2"/>
  <c r="C9" i="2"/>
  <c r="A2" i="2"/>
  <c r="C38" i="1"/>
  <c r="A38" i="1"/>
  <c r="C37" i="1"/>
  <c r="A37" i="1"/>
  <c r="C36" i="1"/>
  <c r="A36" i="1"/>
  <c r="C35" i="1"/>
  <c r="A35" i="1"/>
  <c r="C34" i="1"/>
  <c r="A34" i="1"/>
  <c r="C33" i="1"/>
  <c r="A33" i="1"/>
  <c r="C32" i="1"/>
  <c r="A32" i="1"/>
  <c r="C31" i="1"/>
  <c r="A31" i="1"/>
  <c r="C30" i="1"/>
  <c r="A30" i="1"/>
  <c r="C29" i="1"/>
  <c r="A29" i="1"/>
  <c r="C28" i="1"/>
  <c r="A28" i="1"/>
  <c r="C27" i="1"/>
  <c r="A27" i="1"/>
  <c r="C26" i="1"/>
  <c r="A26" i="1"/>
  <c r="C25" i="1"/>
  <c r="A25" i="1"/>
  <c r="C24" i="1"/>
  <c r="A24" i="1"/>
  <c r="C23" i="1"/>
  <c r="A23" i="1"/>
  <c r="C22" i="1"/>
  <c r="A22" i="1"/>
  <c r="C21" i="1"/>
  <c r="A21" i="1"/>
  <c r="C20" i="1"/>
  <c r="A20" i="1"/>
  <c r="C19" i="1"/>
  <c r="A19" i="1"/>
  <c r="C18" i="1"/>
  <c r="A18" i="1"/>
  <c r="C17" i="1"/>
  <c r="A17" i="1"/>
  <c r="C16" i="1"/>
  <c r="A16" i="1"/>
  <c r="C15" i="1"/>
  <c r="A15" i="1"/>
  <c r="C14" i="1"/>
  <c r="A14" i="1"/>
  <c r="C13" i="1"/>
  <c r="A13" i="1"/>
  <c r="C12" i="1"/>
  <c r="A12" i="1"/>
  <c r="D11" i="1"/>
  <c r="C11" i="1"/>
  <c r="A11" i="1"/>
  <c r="C10" i="1"/>
  <c r="A10" i="1"/>
  <c r="C9" i="1"/>
  <c r="A9" i="1"/>
  <c r="C8" i="1"/>
  <c r="A8" i="1"/>
  <c r="C7" i="1"/>
  <c r="A7" i="1"/>
  <c r="C6" i="1"/>
  <c r="A6" i="1"/>
  <c r="A3" i="1"/>
</calcChain>
</file>

<file path=xl/sharedStrings.xml><?xml version="1.0" encoding="utf-8"?>
<sst xmlns="http://schemas.openxmlformats.org/spreadsheetml/2006/main" count="25902" uniqueCount="7169">
  <si>
    <t>OCTOGROOVE / Worked Example</t>
  </si>
  <si>
    <t>33 linked Tables • sandbox execution • stable identities • local instructions</t>
  </si>
  <si>
    <t>Table</t>
  </si>
  <si>
    <t>Symbol</t>
  </si>
  <si>
    <t>Records</t>
  </si>
  <si>
    <t>🐙📁</t>
  </si>
  <si>
    <t>Start with Guide, then use Reader to inspect records. Amber cells in Reader are controls. The 33 Tables retain stable IDs and numbered fields.</t>
  </si>
  <si>
    <t>🐙📋</t>
  </si>
  <si>
    <t>🐙▶️</t>
  </si>
  <si>
    <t>📖🧭</t>
  </si>
  <si>
    <t>🧩🔢</t>
  </si>
  <si>
    <t>📚🔎</t>
  </si>
  <si>
    <t>📄🧩</t>
  </si>
  <si>
    <t>🖼️📋</t>
  </si>
  <si>
    <t>🧰📋</t>
  </si>
  <si>
    <t>📎🔢</t>
  </si>
  <si>
    <t>🖼️📦</t>
  </si>
  <si>
    <t>📄📐</t>
  </si>
  <si>
    <t>🔗🧭</t>
  </si>
  <si>
    <t>🔍✅</t>
  </si>
  <si>
    <t>🔧⚠️</t>
  </si>
  <si>
    <t>👤✅</t>
  </si>
  <si>
    <t>📦🏁</t>
  </si>
  <si>
    <t>🗂️📖</t>
  </si>
  <si>
    <t>🔢📖</t>
  </si>
  <si>
    <t>📚🔗</t>
  </si>
  <si>
    <t>🖼️🔗</t>
  </si>
  <si>
    <t>🧰🔗</t>
  </si>
  <si>
    <t>📎🔗</t>
  </si>
  <si>
    <t>🐙🔗</t>
  </si>
  <si>
    <t>📄🗺️</t>
  </si>
  <si>
    <t>📄🧱</t>
  </si>
  <si>
    <t>📄🕳️</t>
  </si>
  <si>
    <t>📋⚙️</t>
  </si>
  <si>
    <t>📏⚙️</t>
  </si>
  <si>
    <t>🎨🧬</t>
  </si>
  <si>
    <t>🧩📐</t>
  </si>
  <si>
    <t>✨📋</t>
  </si>
  <si>
    <t>📦♻️</t>
  </si>
  <si>
    <t>OCTOGROOVE / Record reader</t>
  </si>
  <si>
    <t>Figure Outputs</t>
  </si>
  <si>
    <t>Choose a Table and enter its Record ID. To follow a link, enter its Field Number and array member (1 for a single link). Open the target row below, or copy the target Table and ID into B3/B4 to continue reading.</t>
  </si>
  <si>
    <t>Record ID</t>
  </si>
  <si>
    <t>OUTPUT-F01</t>
  </si>
  <si>
    <t>Link field number</t>
  </si>
  <si>
    <t>Link member number</t>
  </si>
  <si>
    <t>Field</t>
  </si>
  <si>
    <t>Name</t>
  </si>
  <si>
    <t>Value</t>
  </si>
  <si>
    <t>Type</t>
  </si>
  <si>
    <t>Target Table</t>
  </si>
  <si>
    <t>Instructions</t>
  </si>
  <si>
    <t>Target ID</t>
  </si>
  <si>
    <t>Navigate</t>
  </si>
  <si>
    <t>Link result</t>
  </si>
  <si>
    <t>OctoGroove / Read and use</t>
  </si>
  <si>
    <t>START</t>
  </si>
  <si>
    <t>Use the starter for new work. The worked example contains real file metadata and reconstructed workflow records.</t>
  </si>
  <si>
    <t>TABLES</t>
  </si>
  <si>
    <t>Each of the 24 logical Tables is an Excel Table. Row 6 contains numbered machine headers; row 7 begins records. Row 4 links to each Field definition.</t>
  </si>
  <si>
    <t>FILL</t>
  </si>
  <si>
    <t>Use Reader: choose Table and enter Record ID. Field Dictionary and Instructions supply meaning, entry rules, and next traversals. Blank rows are empty slots, not records.</t>
  </si>
  <si>
    <t>LINK</t>
  </si>
  <si>
    <t>Single links store one exact target ID. Multiple links store a JSON array, such as ["ID-1","ID-2"]. Use Reader to select a field and member, then follow its target.</t>
  </si>
  <si>
    <t>ADD</t>
  </si>
  <si>
    <t>Insert rows inside the named Excel Table. Copy validation and formulas from the preceding row. Data entry and Reader ranges support up to row 1200; extend the documented ranges together for larger projects.</t>
  </si>
  <si>
    <t>REVISE</t>
  </si>
  <si>
    <t>For versioned artifacts create new payload and registry rows. Preserve Artifact ID, increase Revision Number, link Previous Revision, and write a change summary. Never repoint historical approvals.</t>
  </si>
  <si>
    <t>DEPENDENCIES</t>
  </si>
  <si>
    <t>Record exact directed inputs. A new upstream revision requires manual scope review: CURRENT, NEEDS REVIEW, or STALE. Formulas do not decide semantic staleness.</t>
  </si>
  <si>
    <t>SANDBOX</t>
  </si>
  <si>
    <t>Human approvals are optional historical records and never block sandbox execution. Checks and dependency rules remain active. No live services are contacted by this workbook.</t>
  </si>
  <si>
    <t>CLONE</t>
  </si>
  <si>
    <t>Save a copy of the starter. Keep P-TEMPLATE and its reference definitions. Fill P-NEW with your name and scope. Add project records with new IDs; copy reusable asset roles with new IDs and remap their links.</t>
  </si>
  <si>
    <t>RESET</t>
  </si>
  <si>
    <t>To reset a populated project, prefer a fresh starter. Do not carry completed Checks, Approvals, Issues, Runs, or Releases into new work. Preserve reusable Instructions and Pass Definitions.</t>
  </si>
  <si>
    <t>OFFLINE</t>
  </si>
  <si>
    <t>All schema and instruction records are local. Actual figure/document files are external: File Revisions records their relative paths and hashes. Restore the original EFFECTS package to reproduce those files.</t>
  </si>
  <si>
    <t>PARSER</t>
  </si>
  <si>
    <t>Read named Tables og_*. Use f03_record_id as identity; ignore rows where all data fields are empty. Parse multi-links as JSON arrays; do not infer meaning from sheet position or emoji.</t>
  </si>
  <si>
    <t>VALIDATE</t>
  </si>
  <si>
    <t>Check unique IDs, target existence, revision back-links, allowed values, cardinality, placement XOR, and approval-target equality. Excel dropdowns help entry but cannot enforce every relational rule after pasted edits.</t>
  </si>
  <si>
    <t>EXAMPLE</t>
  </si>
  <si>
    <t>EFFECTS figures F01–F08 use actual manifest captions and byte hashes. Content/contract/run ownership is RECONSTRUCTED. No historical approval rows are fabricated.</t>
  </si>
  <si>
    <t>RELEASE</t>
  </si>
  <si>
    <t>Release helper cells count selected revisions/checks, blocking project issues, and non-current dependencies. Missing check sets or mismatched IDs keep NOT READY. Native Excel has not been used to execute the workflow.</t>
  </si>
  <si>
    <t>ASSEMBLY FABRIC</t>
  </si>
  <si>
    <t>Document Plans own ordered placements; Templates and typed Slots define emission. Rulesets reference atomic Rules. Themes separate retrieval filters and generation details. Use Reader to follow exact links.</t>
  </si>
  <si>
    <t>PASS MAPPING</t>
  </si>
  <si>
    <t>This implementation keeps P3 Content and Spine, P4 Figures, P5 Assets, P6 Build, P7 Compose, P8 Verify. The older architecture paper placed Spine in P4; its mapping is not used here.</t>
  </si>
  <si>
    <t>EXECUTION</t>
  </si>
  <si>
    <t>No human approval gate applies. Generation Requests hold inspectable readback; they do not call a generator. Templates describe assembly; they do not run a document renderer.</t>
  </si>
  <si>
    <t>COMPONENTS</t>
  </si>
  <si>
    <t>Component Readiness checks one edge only. Traverse child assemblies before parent assemblies; reject cycles and duplicate layer positions. EXTERNAL files must be fetched and checked before setting AVAILABLE.</t>
  </si>
  <si>
    <t>PROMOTION</t>
  </si>
  <si>
    <t>Asset Lifecycle records intent and actual outcomes separately. REUSABLE CANDIDATE does not transfer bytes. Set PROMOTED only after a real destination and persistent identity are recorded.</t>
  </si>
  <si>
    <t>PATCH v0.2</t>
  </si>
  <si>
    <t>Nine Tables added; existing Field numbers retained. New Fields: Projects 12–15; File Revisions 13; Document Placements 13–15. Table and Field Dictionaries provide the full compact schema and instructions.</t>
  </si>
  <si>
    <t>🐙📁 Projects</t>
  </si>
  <si>
    <t>One document-building project.</t>
  </si>
  <si>
    <t>1 — Name</t>
  </si>
  <si>
    <t>2 — Description</t>
  </si>
  <si>
    <t>3 — Record ID</t>
  </si>
  <si>
    <t>4 — Template Release</t>
  </si>
  <si>
    <t>5 — Project Mode</t>
  </si>
  <si>
    <t>6 — Scope</t>
  </si>
  <si>
    <t>7 — Active Pass Run</t>
  </si>
  <si>
    <t>8 — Current Candidate</t>
  </si>
  <si>
    <t>9 — Current Release</t>
  </si>
  <si>
    <t>10 — Work State</t>
  </si>
  <si>
    <t>11 — Owner</t>
  </si>
  <si>
    <t>12 — Template</t>
  </si>
  <si>
    <t>13 — Ruleset</t>
  </si>
  <si>
    <t>14 — Theme</t>
  </si>
  <si>
    <t>15 — Execution Policy</t>
  </si>
  <si>
    <t>f01_name</t>
  </si>
  <si>
    <t>f02_description</t>
  </si>
  <si>
    <t>f03_record_id</t>
  </si>
  <si>
    <t>f04_template_release</t>
  </si>
  <si>
    <t>f05_project_mode</t>
  </si>
  <si>
    <t>f06_scope</t>
  </si>
  <si>
    <t>f07_active_pass_run</t>
  </si>
  <si>
    <t>f08_current_candidate</t>
  </si>
  <si>
    <t>f09_current_release</t>
  </si>
  <si>
    <t>f10_work_state</t>
  </si>
  <si>
    <t>f11_owner</t>
  </si>
  <si>
    <t>f12_template</t>
  </si>
  <si>
    <t>f13_ruleset</t>
  </si>
  <si>
    <t>f14_theme</t>
  </si>
  <si>
    <t>f15_execution_policy</t>
  </si>
  <si>
    <t>OctoGroove reusable infrastructure</t>
  </si>
  <si>
    <t>Governed definitions and reusable instructions.</t>
  </si>
  <si>
    <t>P-TEMPLATE</t>
  </si>
  <si>
    <t>TEMPLATE</t>
  </si>
  <si>
    <t>Eight-pass document workflow; shared schema for starter and example.</t>
  </si>
  <si>
    <t>COMPLETE</t>
  </si>
  <si>
    <t>Template maintainer</t>
  </si>
  <si>
    <t>TPL-TECH</t>
  </si>
  <si>
    <t>RULESET-TECH</t>
  </si>
  <si>
    <t>THEME-NEON</t>
  </si>
  <si>
    <t>EFFECTS-64 worked example</t>
  </si>
  <si>
    <t>Reconstructed workflow from preserved figures, manifest, and reviewed document.</t>
  </si>
  <si>
    <t>P-EFX</t>
  </si>
  <si>
    <t>WORKED EXAMPLE</t>
  </si>
  <si>
    <t>Eight real figure outputs and document handoff; sample content and contracts reconstructed, not a complete historical transcript.</t>
  </si>
  <si>
    <t>DOC-FINAL</t>
  </si>
  <si>
    <t>REL-EFX</t>
  </si>
  <si>
    <t>Shane Conrad</t>
  </si>
  <si>
    <t>OctoGroove Document Construction System</t>
  </si>
  <si>
    <t>Prospective self-use construction of the new paper, beginning with Wave A.</t>
  </si>
  <si>
    <t>OG-PROJECT</t>
  </si>
  <si>
    <t>LIVE PROJECT</t>
  </si>
  <si>
    <t>Twelve-part paper; seven figures; companion workbooks; later Sites handoff and 1/3/8/15 EFFECTS trial checkpoints.</t>
  </si>
  <si>
    <t>OG-PASS-8</t>
  </si>
  <si>
    <t>OG-P7-DOC</t>
  </si>
  <si>
    <t>OG-RELEASE-P8</t>
  </si>
  <si>
    <t>🐙📋 Pass Definitions</t>
  </si>
  <si>
    <t>One versioned definition of a Pass.</t>
  </si>
  <si>
    <t>4 — Revision</t>
  </si>
  <si>
    <t>5 — Pass Number</t>
  </si>
  <si>
    <t>6 — Required Inputs</t>
  </si>
  <si>
    <t>7 — Owned Decisions</t>
  </si>
  <si>
    <t>8 — Transformation</t>
  </si>
  <si>
    <t>9 — Required Outputs</t>
  </si>
  <si>
    <t>10 — Exit Criteria</t>
  </si>
  <si>
    <t>11 — Repair Routing</t>
  </si>
  <si>
    <t>12 — Instructions</t>
  </si>
  <si>
    <t>f04_revision</t>
  </si>
  <si>
    <t>f05_pass_number</t>
  </si>
  <si>
    <t>f06_required_inputs</t>
  </si>
  <si>
    <t>f07_owned_decisions</t>
  </si>
  <si>
    <t>f08_transformation</t>
  </si>
  <si>
    <t>f09_required_outputs</t>
  </si>
  <si>
    <t>f10_exit_criteria</t>
  </si>
  <si>
    <t>f11_repair_routing</t>
  </si>
  <si>
    <t>f12_instructions</t>
  </si>
  <si>
    <t>Pass 1 — Type</t>
  </si>
  <si>
    <t>Classify audience, artifact kind, and intended use.</t>
  </si>
  <si>
    <t>PASS-1</t>
  </si>
  <si>
    <t>R-PASS-1</t>
  </si>
  <si>
    <t>Request and intended use</t>
  </si>
  <si>
    <t>Document Type Declaration</t>
  </si>
  <si>
    <t>Required slots complete; evidence attached; blocking issues resolved; required outputs inspectable; proceed autonomously in SANDBOX.</t>
  </si>
  <si>
    <t>Meaning P3; visual obligation P4; ingredient P5; execution P6; composition P7; final review P8.</t>
  </si>
  <si>
    <t>["I-T02"]</t>
  </si>
  <si>
    <t>Pass 2 — Govern</t>
  </si>
  <si>
    <t>Bind writing, formatting, scope, and verification requirements.</t>
  </si>
  <si>
    <t>PASS-2</t>
  </si>
  <si>
    <t>R-PASS-2</t>
  </si>
  <si>
    <t>Type declaration and governing standards</t>
  </si>
  <si>
    <t>Document Contract</t>
  </si>
  <si>
    <t>Pass 3 — Content</t>
  </si>
  <si>
    <t>Establish meaning, boundaries, claims, and ordered Document Spine in Document Plans and Document Placements.</t>
  </si>
  <si>
    <t>PASS-3</t>
  </si>
  <si>
    <t>R-PASS-3</t>
  </si>
  <si>
    <t>Document contract and sources</t>
  </si>
  <si>
    <t>Content Map</t>
  </si>
  <si>
    <t>Pass 4 — Figures</t>
  </si>
  <si>
    <t>Assign explanatory obligations, encodings, and misleading implications to prevent.</t>
  </si>
  <si>
    <t>PASS-4</t>
  </si>
  <si>
    <t>R-PASS-4</t>
  </si>
  <si>
    <t>Figure Contracts</t>
  </si>
  <si>
    <t>Pass 5 — Assets</t>
  </si>
  <si>
    <t>Identify stable ingredient roles and how to obtain them.</t>
  </si>
  <si>
    <t>PASS-5</t>
  </si>
  <si>
    <t>R-PASS-5</t>
  </si>
  <si>
    <t>Asset Requirements</t>
  </si>
  <si>
    <t>Pass 6 — Build</t>
  </si>
  <si>
    <t>Build in project-specific Waves; check semantic and visual correctness separately.</t>
  </si>
  <si>
    <t>PASS-6</t>
  </si>
  <si>
    <t>R-PASS-6</t>
  </si>
  <si>
    <t>Contracts, requirements, and selected assets</t>
  </si>
  <si>
    <t>Figure Set and Production QA</t>
  </si>
  <si>
    <t>Pass 7 — Compose</t>
  </si>
  <si>
    <t>Compose resolved text and figures; render actual pages.</t>
  </si>
  <si>
    <t>PASS-7</t>
  </si>
  <si>
    <t>R-PASS-7</t>
  </si>
  <si>
    <t>Resolved content and figure outputs</t>
  </si>
  <si>
    <t>Document Candidate</t>
  </si>
  <si>
    <t>Pass 8 — Verify</t>
  </si>
  <si>
    <t>Compare rendered candidate against contracts; route defects to earliest owner; recheck repairs.</t>
  </si>
  <si>
    <t>PASS-8</t>
  </si>
  <si>
    <t>R-PASS-8</t>
  </si>
  <si>
    <t>Document candidate and governing contracts</t>
  </si>
  <si>
    <t>Verified Release and QA</t>
  </si>
  <si>
    <t>🐙▶️ Pass Runs</t>
  </si>
  <si>
    <t>One execution of a Pass or Wave.</t>
  </si>
  <si>
    <t>4 — Project</t>
  </si>
  <si>
    <t>5 — Pass Definition</t>
  </si>
  <si>
    <t>6 — Parent Run</t>
  </si>
  <si>
    <t>7 — Wave Label</t>
  </si>
  <si>
    <t>8 — Execution Order</t>
  </si>
  <si>
    <t>9 — Previous Attempt</t>
  </si>
  <si>
    <t>11 — Decision Record</t>
  </si>
  <si>
    <t>12 — Handoff</t>
  </si>
  <si>
    <t>13 — Evidence Origin</t>
  </si>
  <si>
    <t>f04_project</t>
  </si>
  <si>
    <t>f05_pass_definition</t>
  </si>
  <si>
    <t>f06_parent_run</t>
  </si>
  <si>
    <t>f07_wave_label</t>
  </si>
  <si>
    <t>f08_execution_order</t>
  </si>
  <si>
    <t>f09_previous_attempt</t>
  </si>
  <si>
    <t>f11_decision_record</t>
  </si>
  <si>
    <t>f12_handoff</t>
  </si>
  <si>
    <t>f13_evidence_origin</t>
  </si>
  <si>
    <t>EFFECTS Pass 1</t>
  </si>
  <si>
    <t>RUN-1</t>
  </si>
  <si>
    <t>Historical stage reconstructed from retained artifacts and visible approval sequence.</t>
  </si>
  <si>
    <t>RECONSTRUCTED</t>
  </si>
  <si>
    <t>EFFECTS Pass 2</t>
  </si>
  <si>
    <t>RUN-2</t>
  </si>
  <si>
    <t>EFFECTS Pass 3</t>
  </si>
  <si>
    <t>RUN-3</t>
  </si>
  <si>
    <t>EFFECTS Pass 4</t>
  </si>
  <si>
    <t>RUN-4</t>
  </si>
  <si>
    <t>EFFECTS Pass 5</t>
  </si>
  <si>
    <t>RUN-5</t>
  </si>
  <si>
    <t>EFFECTS Pass 6</t>
  </si>
  <si>
    <t>RUN-6</t>
  </si>
  <si>
    <t>EFFECTS Pass 7</t>
  </si>
  <si>
    <t>RUN-7</t>
  </si>
  <si>
    <t>EFFECTS Pass 8</t>
  </si>
  <si>
    <t>RUN-8</t>
  </si>
  <si>
    <t>OctoGroove Pass 3</t>
  </si>
  <si>
    <t>OctoGroove paper self-use project.</t>
  </si>
  <si>
    <t>OG-PASS-3</t>
  </si>
  <si>
    <t>Reconstructed from approved chat planning; no invented historical execution evidence.</t>
  </si>
  <si>
    <t>Approved planning recorded in OG-SOURCE-PLAN.</t>
  </si>
  <si>
    <t>OctoGroove Pass 4</t>
  </si>
  <si>
    <t>OG-PASS-4</t>
  </si>
  <si>
    <t>OctoGroove Pass 5</t>
  </si>
  <si>
    <t>OG-PASS-5</t>
  </si>
  <si>
    <t>OctoGroove build</t>
  </si>
  <si>
    <t>OG-PASS-6</t>
  </si>
  <si>
    <t>All seven numbered figures and34 existing OctoGroove physical source files passed combined audit. No final Word or desktop Excel execution claim.</t>
  </si>
  <si>
    <t>Proceed to Pass7 using OG-H-HANDOFF and OG-H-MANIFEST; preserve page-fit and starter-parity follow-ups.</t>
  </si>
  <si>
    <t>CONTEMPORANEOUS</t>
  </si>
  <si>
    <t>Registration and baseline</t>
  </si>
  <si>
    <t>OG-WAVE-A</t>
  </si>
  <si>
    <t>A</t>
  </si>
  <si>
    <t>Wave A records validated at construction.</t>
  </si>
  <si>
    <t>Registered source baseline and bounded requirements.</t>
  </si>
  <si>
    <t>Notation and components</t>
  </si>
  <si>
    <t>OG-WAVE-B</t>
  </si>
  <si>
    <t>B</t>
  </si>
  <si>
    <t>Built notation, editable drawing components, construction sample and seven-figure initial text. Font coverage fallback documented.</t>
  </si>
  <si>
    <t>Selected fulfillments for OG-A03, OG-A04 and OG-A06; consume in Waves C-G.</t>
  </si>
  <si>
    <t>Operating package and traversal</t>
  </si>
  <si>
    <t>OG-WAVE-C</t>
  </si>
  <si>
    <t>C</t>
  </si>
  <si>
    <t>Built, rendered and inspected OG-F01 and OG-F03; source evidence and placements registered.</t>
  </si>
  <si>
    <t>Wave D may consume shared assets and follow the checked Table/Field/Record conventions. Paper composition remains later.</t>
  </si>
  <si>
    <t>Construction relationship map</t>
  </si>
  <si>
    <t>OG-WAVE-D</t>
  </si>
  <si>
    <t>D</t>
  </si>
  <si>
    <t>Built, rendered and inspected OG-F02; source evidence and placements registered.</t>
  </si>
  <si>
    <t>Wave E may consume shared assets and follow the checked Table/Field/Record conventions. Paper composition remains later.</t>
  </si>
  <si>
    <t>Spine example</t>
  </si>
  <si>
    <t>OG-WAVE-E</t>
  </si>
  <si>
    <t>E</t>
  </si>
  <si>
    <t>Built, rendered and inspected OG-F04; source evidence and placements registered.</t>
  </si>
  <si>
    <t>Wave F may consume shared assets and follow the checked Table/Field/Record conventions. Paper composition remains later.</t>
  </si>
  <si>
    <t>Selection and readback</t>
  </si>
  <si>
    <t>OG-WAVE-F</t>
  </si>
  <si>
    <t>F</t>
  </si>
  <si>
    <t>Built, rendered and inspected OG-F05; source evidence and placements registered.</t>
  </si>
  <si>
    <t>Wave G may consume shared assets and follow the checked Table/Field/Record conventions. Paper composition remains later.</t>
  </si>
  <si>
    <t>Repair and reuse</t>
  </si>
  <si>
    <t>OG-WAVE-G</t>
  </si>
  <si>
    <t>G</t>
  </si>
  <si>
    <t>Built, rendered and inspected OG-F06 and OG-F07; source evidence and placements registered.</t>
  </si>
  <si>
    <t>Wave H may consume shared assets and follow the checked Table/Field/Record conventions. Paper composition remains later.</t>
  </si>
  <si>
    <t>Verification and handoff</t>
  </si>
  <si>
    <t>OG-WAVE-H</t>
  </si>
  <si>
    <t>H</t>
  </si>
  <si>
    <t>OctoGroove Pass 7 Compose</t>
  </si>
  <si>
    <t>Compose twelve sections and seven figures; inspect actual pages.</t>
  </si>
  <si>
    <t>OG-PASS-7</t>
  </si>
  <si>
    <t>21-page candidate composed and visually inspected. Title border removed; field addresses made explicit. Final release review remains Pass 8.</t>
  </si>
  <si>
    <t>Candidate and linked prose registered; proceed to final consistency review. Native desktop Excel and starter parity remain pending.</t>
  </si>
  <si>
    <t>OctoGroove Pass 8 Verify</t>
  </si>
  <si>
    <t>Final paper consistency, byte integrity and package review.</t>
  </si>
  <si>
    <t>Approved candidate retained byte-for-byte. Seven contracts, exact prose order and 42 registered files pass audit.</t>
  </si>
  <si>
    <t>Paper ready as source for the next Sites stage; native Excel and starter parity are tracked separately.</t>
  </si>
  <si>
    <t>📖🧭 Instructions</t>
  </si>
  <si>
    <t>One versioned read-and-use instruction.</t>
  </si>
  <si>
    <t>5 — Scope</t>
  </si>
  <si>
    <t>6 — Target Table</t>
  </si>
  <si>
    <t>7 — Target Field</t>
  </si>
  <si>
    <t>8 — Read First</t>
  </si>
  <si>
    <t>9 — Required When</t>
  </si>
  <si>
    <t>10 — Procedure</t>
  </si>
  <si>
    <t>11 — Acceptance Rule</t>
  </si>
  <si>
    <t>12 — Example</t>
  </si>
  <si>
    <t>13 — Next Traversal</t>
  </si>
  <si>
    <t>f05_scope</t>
  </si>
  <si>
    <t>f06_target_table</t>
  </si>
  <si>
    <t>f07_target_field</t>
  </si>
  <si>
    <t>f08_read_first</t>
  </si>
  <si>
    <t>f09_required_when</t>
  </si>
  <si>
    <t>f10_procedure</t>
  </si>
  <si>
    <t>f11_acceptance_rule</t>
  </si>
  <si>
    <t>f12_example</t>
  </si>
  <si>
    <t>f13_next_traversal</t>
  </si>
  <si>
    <t>Projects use</t>
  </si>
  <si>
    <t>I-T01</t>
  </si>
  <si>
    <t>R-I-T01</t>
  </si>
  <si>
    <t>TABLE</t>
  </si>
  <si>
    <t>T01</t>
  </si>
  <si>
    <t>Home instructions; this Table definition; linked Field definitions.</t>
  </si>
  <si>
    <t>Before adding or changing a record in this Table.</t>
  </si>
  <si>
    <t>Enter one record per row. Read field instructions using row 4 links or Reader. Assign a unique ID. Use existing target IDs for links. Create a new revision for approved artifact changes.</t>
  </si>
  <si>
    <t>Required fields populated; IDs unique; links resolve; types and cross-field rules satisfied.</t>
  </si>
  <si>
    <t>Use the Worked Example workbook to inspect populated records.</t>
  </si>
  <si>
    <t>Releases; Pass Runs; File Revisions; Releases; Templates; Rulesets; Themes</t>
  </si>
  <si>
    <t>Projects / 1 Name</t>
  </si>
  <si>
    <t>Readable name of this record.</t>
  </si>
  <si>
    <t>I-T01-F01</t>
  </si>
  <si>
    <t>R-I-T01-F01</t>
  </si>
  <si>
    <t>FIELD</t>
  </si>
  <si>
    <t>T01-F01</t>
  </si>
  <si>
    <t>🐙📁 Projects; Field 1; owning artifact and its source requirements.</t>
  </si>
  <si>
    <t>Required for every populated record.</t>
  </si>
  <si>
    <t>Readable name of this record. Enter a literal value; preserve distinction between blank and zero.</t>
  </si>
  <si>
    <t>Enter a literal value; preserve distinction between blank and zero.</t>
  </si>
  <si>
    <t>Enter project-specific name.</t>
  </si>
  <si>
    <t>Continue with the next numbered Field; then apply the Table acceptance rules.</t>
  </si>
  <si>
    <t>Projects / 2 Description</t>
  </si>
  <si>
    <t>Purpose and relevant context of this record.</t>
  </si>
  <si>
    <t>I-T01-F02</t>
  </si>
  <si>
    <t>R-I-T01-F02</t>
  </si>
  <si>
    <t>T01-F02</t>
  </si>
  <si>
    <t>🐙📁 Projects; Field 2; owning artifact and its source requirements.</t>
  </si>
  <si>
    <t>Purpose and relevant context of this record. Enter a literal value; preserve distinction between blank and zero.</t>
  </si>
  <si>
    <t>Enter project-specific description.</t>
  </si>
  <si>
    <t>Projects / 3 Record ID</t>
  </si>
  <si>
    <t>Unique immutable ASCII record identifier.</t>
  </si>
  <si>
    <t>I-T01-F03</t>
  </si>
  <si>
    <t>R-I-T01-F03</t>
  </si>
  <si>
    <t>T01-F03</t>
  </si>
  <si>
    <t>🐙📁 Projects; Field 3; owning artifact and its source requirements.</t>
  </si>
  <si>
    <t>Unique immutable ASCII record identifier. Unique within this Table; stable ASCII identifier; never use row number as identity.</t>
  </si>
  <si>
    <t>Unique within this Table; stable ASCII identifier; never use row number as identity.</t>
  </si>
  <si>
    <t>PROJECT-ROLE-R01</t>
  </si>
  <si>
    <t>Projects / 4 Template Release</t>
  </si>
  <si>
    <t>Link to one exact record in Releases.</t>
  </si>
  <si>
    <t>I-T01-F04</t>
  </si>
  <si>
    <t>R-I-T01-F04</t>
  </si>
  <si>
    <t>T01-F04</t>
  </si>
  <si>
    <t>🐙📁 Projects; Field 4; target Releases Record ID column.</t>
  </si>
  <si>
    <t>Optional; complete when applicable.</t>
  </si>
  <si>
    <t>Link to one exact record in Releases. Exact existing target Record ID; no labels or comma-separated lists.</t>
  </si>
  <si>
    <t>Exact existing target Record ID; no labels or comma-separated lists.</t>
  </si>
  <si>
    <t>Copy an existing target Record ID.</t>
  </si>
  <si>
    <t>Open Releases in Reader using the stored target ID.</t>
  </si>
  <si>
    <t>Projects / 5 Project Mode</t>
  </si>
  <si>
    <t>Project Mode for Projects: One document-building project.</t>
  </si>
  <si>
    <t>I-T01-F05</t>
  </si>
  <si>
    <t>R-I-T01-F05</t>
  </si>
  <si>
    <t>T01-F05</t>
  </si>
  <si>
    <t>🐙📁 Projects; Field 5; owning artifact and its source requirements.</t>
  </si>
  <si>
    <t>Project Mode for Projects: One document-building project. Use exactly one listed allowed value.</t>
  </si>
  <si>
    <t>Use exactly one listed allowed value.</t>
  </si>
  <si>
    <t>Projects / 6 Scope</t>
  </si>
  <si>
    <t>Scope for Projects: One document-building project.</t>
  </si>
  <si>
    <t>I-T01-F06</t>
  </si>
  <si>
    <t>R-I-T01-F06</t>
  </si>
  <si>
    <t>T01-F06</t>
  </si>
  <si>
    <t>🐙📁 Projects; Field 6; owning artifact and its source requirements.</t>
  </si>
  <si>
    <t>Scope for Projects: One document-building project. Enter a literal value; preserve distinction between blank and zero.</t>
  </si>
  <si>
    <t>Enter project-specific scope.</t>
  </si>
  <si>
    <t>Projects / 7 Active Pass Run</t>
  </si>
  <si>
    <t>Link to one exact record in Pass Runs.</t>
  </si>
  <si>
    <t>I-T01-F07</t>
  </si>
  <si>
    <t>R-I-T01-F07</t>
  </si>
  <si>
    <t>T01-F07</t>
  </si>
  <si>
    <t>🐙📁 Projects; Field 7; target Pass Runs Record ID column.</t>
  </si>
  <si>
    <t>Link to one exact record in Pass Runs. Exact existing target Record ID; no labels or comma-separated lists.</t>
  </si>
  <si>
    <t>Open Pass Runs in Reader using the stored target ID.</t>
  </si>
  <si>
    <t>Projects / 8 Current Candidate</t>
  </si>
  <si>
    <t>Link to one exact record in File Revisions.</t>
  </si>
  <si>
    <t>I-T01-F08</t>
  </si>
  <si>
    <t>R-I-T01-F08</t>
  </si>
  <si>
    <t>T01-F08</t>
  </si>
  <si>
    <t>🐙📁 Projects; Field 8; target File Revisions Record ID column.</t>
  </si>
  <si>
    <t>Link to one exact record in File Revisions. Exact existing target Record ID; no labels or comma-separated lists.</t>
  </si>
  <si>
    <t>Open File Revisions in Reader using the stored target ID.</t>
  </si>
  <si>
    <t>Projects / 9 Current Release</t>
  </si>
  <si>
    <t>I-T01-F09</t>
  </si>
  <si>
    <t>R-I-T01-F09</t>
  </si>
  <si>
    <t>T01-F09</t>
  </si>
  <si>
    <t>🐙📁 Projects; Field 9; target Releases Record ID column.</t>
  </si>
  <si>
    <t>Projects / 10 Work State</t>
  </si>
  <si>
    <t>Work State for Projects: One document-building project.</t>
  </si>
  <si>
    <t>I-T01-F10</t>
  </si>
  <si>
    <t>R-I-T01-F10</t>
  </si>
  <si>
    <t>T01-F10</t>
  </si>
  <si>
    <t>🐙📁 Projects; Field 10; owning artifact and its source requirements.</t>
  </si>
  <si>
    <t>Work State for Projects: One document-building project. Use exactly one listed allowed value.</t>
  </si>
  <si>
    <t>NOT STARTED</t>
  </si>
  <si>
    <t>Projects / 11 Owner</t>
  </si>
  <si>
    <t>Owner for Projects: One document-building project.</t>
  </si>
  <si>
    <t>I-T01-F11</t>
  </si>
  <si>
    <t>R-I-T01-F11</t>
  </si>
  <si>
    <t>T01-F11</t>
  </si>
  <si>
    <t>🐙📁 Projects; Field 11; owning artifact and its source requirements.</t>
  </si>
  <si>
    <t>Owner for Projects: One document-building project. Enter a literal value; preserve distinction between blank and zero.</t>
  </si>
  <si>
    <t>Enter project-specific owner.</t>
  </si>
  <si>
    <t>Projects / 12 Template</t>
  </si>
  <si>
    <t>Link to one exact record in Templates.</t>
  </si>
  <si>
    <t>I-T01-F12</t>
  </si>
  <si>
    <t>R-I-T01-F12</t>
  </si>
  <si>
    <t>T01-F12</t>
  </si>
  <si>
    <t>🐙📁 Projects; Field 12; target Templates Record ID column.</t>
  </si>
  <si>
    <t>Link to one exact record in Templates. Exact existing target Record ID; no labels or comma-separated lists.</t>
  </si>
  <si>
    <t>Open Templates in Reader using the stored target ID.</t>
  </si>
  <si>
    <t>Projects / 13 Ruleset</t>
  </si>
  <si>
    <t>Link to one exact record in Rulesets.</t>
  </si>
  <si>
    <t>I-T01-F13</t>
  </si>
  <si>
    <t>R-I-T01-F13</t>
  </si>
  <si>
    <t>T01-F13</t>
  </si>
  <si>
    <t>🐙📁 Projects; Field 13; target Rulesets Record ID column.</t>
  </si>
  <si>
    <t>Link to one exact record in Rulesets. Exact existing target Record ID; no labels or comma-separated lists.</t>
  </si>
  <si>
    <t>Open Rulesets in Reader using the stored target ID.</t>
  </si>
  <si>
    <t>Projects / 14 Theme</t>
  </si>
  <si>
    <t>Link to one exact record in Themes.</t>
  </si>
  <si>
    <t>I-T01-F14</t>
  </si>
  <si>
    <t>R-I-T01-F14</t>
  </si>
  <si>
    <t>T01-F14</t>
  </si>
  <si>
    <t>🐙📁 Projects; Field 14; target Themes Record ID column.</t>
  </si>
  <si>
    <t>Link to one exact record in Themes. Exact existing target Record ID; no labels or comma-separated lists.</t>
  </si>
  <si>
    <t>Open Themes in Reader using the stored target ID.</t>
  </si>
  <si>
    <t>Projects / 15 Execution Policy</t>
  </si>
  <si>
    <t>SANDBOX permits local execution without human approval. Preserve structural, dependency, and result validation.</t>
  </si>
  <si>
    <t>I-T01-F15</t>
  </si>
  <si>
    <t>R-I-T01-F15</t>
  </si>
  <si>
    <t>T01-F15</t>
  </si>
  <si>
    <t>🐙📁 Projects; Field 15; owning artifact and its source requirements.</t>
  </si>
  <si>
    <t>SANDBOX permits local execution without human approval. Preserve structural, dependency, and result validation. Use exactly one listed allowed value.</t>
  </si>
  <si>
    <t>Pass Definitions use</t>
  </si>
  <si>
    <t>I-T02</t>
  </si>
  <si>
    <t>R-I-T02</t>
  </si>
  <si>
    <t>T02</t>
  </si>
  <si>
    <t>Record Revisions; Instructions</t>
  </si>
  <si>
    <t>Pass Definitions / 1 Name</t>
  </si>
  <si>
    <t>I-T02-F01</t>
  </si>
  <si>
    <t>R-I-T02-F01</t>
  </si>
  <si>
    <t>T02-F01</t>
  </si>
  <si>
    <t>🐙📋 Pass Definitions; Field 1; owning artifact and its source requirements.</t>
  </si>
  <si>
    <t>Pass Definitions / 2 Description</t>
  </si>
  <si>
    <t>I-T02-F02</t>
  </si>
  <si>
    <t>R-I-T02-F02</t>
  </si>
  <si>
    <t>T02-F02</t>
  </si>
  <si>
    <t>🐙📋 Pass Definitions; Field 2; owning artifact and its source requirements.</t>
  </si>
  <si>
    <t>Pass Definitions / 3 Record ID</t>
  </si>
  <si>
    <t>I-T02-F03</t>
  </si>
  <si>
    <t>R-I-T02-F03</t>
  </si>
  <si>
    <t>T02-F03</t>
  </si>
  <si>
    <t>🐙📋 Pass Definitions; Field 3; owning artifact and its source requirements.</t>
  </si>
  <si>
    <t>Pass Definitions / 4 Revision</t>
  </si>
  <si>
    <t>Exact revision registry entry; payload must point back to this row.</t>
  </si>
  <si>
    <t>I-T02-F04</t>
  </si>
  <si>
    <t>R-I-T02-F04</t>
  </si>
  <si>
    <t>T02-F04</t>
  </si>
  <si>
    <t>🐙📋 Pass Definitions; Field 4; target Record Revisions Record ID column.</t>
  </si>
  <si>
    <t>Exact revision registry entry; payload must point back to this row. Exact existing target Record ID; no labels or comma-separated lists.</t>
  </si>
  <si>
    <t>Open Record Revisions in Reader using the stored target ID.</t>
  </si>
  <si>
    <t>Pass Definitions / 5 Pass Number</t>
  </si>
  <si>
    <t>Pass Number for Pass Definitions: One versioned definition of a Pass.</t>
  </si>
  <si>
    <t>I-T02-F05</t>
  </si>
  <si>
    <t>R-I-T02-F05</t>
  </si>
  <si>
    <t>T02-F05</t>
  </si>
  <si>
    <t>🐙📋 Pass Definitions; Field 5; owning artifact and its source requirements.</t>
  </si>
  <si>
    <t>Pass Number for Pass Definitions: One versioned definition of a Pass. Integer value; order and revision fields positive; quantity and link minima may be zero.</t>
  </si>
  <si>
    <t>Integer value; order and revision fields positive; quantity and link minima may be zero.</t>
  </si>
  <si>
    <t>1</t>
  </si>
  <si>
    <t>Pass Definitions / 6 Required Inputs</t>
  </si>
  <si>
    <t>Required Inputs for Pass Definitions: One versioned definition of a Pass.</t>
  </si>
  <si>
    <t>I-T02-F06</t>
  </si>
  <si>
    <t>R-I-T02-F06</t>
  </si>
  <si>
    <t>T02-F06</t>
  </si>
  <si>
    <t>🐙📋 Pass Definitions; Field 6; owning artifact and its source requirements.</t>
  </si>
  <si>
    <t>Required Inputs for Pass Definitions: One versioned definition of a Pass. Enter a literal value; preserve distinction between blank and zero.</t>
  </si>
  <si>
    <t>Enter project-specific required inputs.</t>
  </si>
  <si>
    <t>Pass Definitions / 7 Owned Decisions</t>
  </si>
  <si>
    <t>Owned Decisions for Pass Definitions: One versioned definition of a Pass.</t>
  </si>
  <si>
    <t>I-T02-F07</t>
  </si>
  <si>
    <t>R-I-T02-F07</t>
  </si>
  <si>
    <t>T02-F07</t>
  </si>
  <si>
    <t>🐙📋 Pass Definitions; Field 7; owning artifact and its source requirements.</t>
  </si>
  <si>
    <t>Owned Decisions for Pass Definitions: One versioned definition of a Pass. Enter a literal value; preserve distinction between blank and zero.</t>
  </si>
  <si>
    <t>Enter project-specific owned decisions.</t>
  </si>
  <si>
    <t>Pass Definitions / 8 Transformation</t>
  </si>
  <si>
    <t>Transformation for Pass Definitions: One versioned definition of a Pass.</t>
  </si>
  <si>
    <t>I-T02-F08</t>
  </si>
  <si>
    <t>R-I-T02-F08</t>
  </si>
  <si>
    <t>T02-F08</t>
  </si>
  <si>
    <t>🐙📋 Pass Definitions; Field 8; owning artifact and its source requirements.</t>
  </si>
  <si>
    <t>Transformation for Pass Definitions: One versioned definition of a Pass. Enter a literal value; preserve distinction between blank and zero.</t>
  </si>
  <si>
    <t>Enter project-specific transformation.</t>
  </si>
  <si>
    <t>Pass Definitions / 9 Required Outputs</t>
  </si>
  <si>
    <t>Required Outputs for Pass Definitions: One versioned definition of a Pass.</t>
  </si>
  <si>
    <t>I-T02-F09</t>
  </si>
  <si>
    <t>R-I-T02-F09</t>
  </si>
  <si>
    <t>T02-F09</t>
  </si>
  <si>
    <t>🐙📋 Pass Definitions; Field 9; owning artifact and its source requirements.</t>
  </si>
  <si>
    <t>Required Outputs for Pass Definitions: One versioned definition of a Pass. Enter a literal value; preserve distinction between blank and zero.</t>
  </si>
  <si>
    <t>Enter project-specific required outputs.</t>
  </si>
  <si>
    <t>Pass Definitions / 10 Exit Criteria</t>
  </si>
  <si>
    <t>Exit Criteria for Pass Definitions: One versioned definition of a Pass.</t>
  </si>
  <si>
    <t>I-T02-F10</t>
  </si>
  <si>
    <t>R-I-T02-F10</t>
  </si>
  <si>
    <t>T02-F10</t>
  </si>
  <si>
    <t>🐙📋 Pass Definitions; Field 10; owning artifact and its source requirements.</t>
  </si>
  <si>
    <t>Exit Criteria for Pass Definitions: One versioned definition of a Pass. Enter a literal value; preserve distinction between blank and zero.</t>
  </si>
  <si>
    <t>Enter project-specific exit criteria.</t>
  </si>
  <si>
    <t>Pass Definitions / 11 Repair Routing</t>
  </si>
  <si>
    <t>Repair Routing for Pass Definitions: One versioned definition of a Pass.</t>
  </si>
  <si>
    <t>I-T02-F11</t>
  </si>
  <si>
    <t>R-I-T02-F11</t>
  </si>
  <si>
    <t>T02-F11</t>
  </si>
  <si>
    <t>🐙📋 Pass Definitions; Field 11; owning artifact and its source requirements.</t>
  </si>
  <si>
    <t>Repair Routing for Pass Definitions: One versioned definition of a Pass. Enter a literal value; preserve distinction between blank and zero.</t>
  </si>
  <si>
    <t>Enter project-specific repair routing.</t>
  </si>
  <si>
    <t>Pass Definitions / 12 Instructions</t>
  </si>
  <si>
    <t>Link to one or more exact records in Instructions.</t>
  </si>
  <si>
    <t>I-T02-F12</t>
  </si>
  <si>
    <t>R-I-T02-F12</t>
  </si>
  <si>
    <t>T02-F12</t>
  </si>
  <si>
    <t>🐙📋 Pass Definitions; Field 12; target Instructions Record ID column.</t>
  </si>
  <si>
    <t>Link to one or more exact records in Instructions. JSON array of unique target Record IDs; [] means no links.</t>
  </si>
  <si>
    <t>JSON array of unique target Record IDs; [] means no links.</t>
  </si>
  <si>
    <t>["TARGET-ID-1","TARGET-ID-2"]</t>
  </si>
  <si>
    <t>Open Instructions in Reader using the stored target ID.</t>
  </si>
  <si>
    <t>Pass Runs use</t>
  </si>
  <si>
    <t>I-T03</t>
  </si>
  <si>
    <t>R-I-T03</t>
  </si>
  <si>
    <t>T03</t>
  </si>
  <si>
    <t>Projects; Pass Definitions; Pass Runs; Pass Runs</t>
  </si>
  <si>
    <t>Pass Runs / 1 Name</t>
  </si>
  <si>
    <t>I-T03-F01</t>
  </si>
  <si>
    <t>R-I-T03-F01</t>
  </si>
  <si>
    <t>T03-F01</t>
  </si>
  <si>
    <t>🐙▶️ Pass Runs; Field 1; owning artifact and its source requirements.</t>
  </si>
  <si>
    <t>Pass Runs / 2 Description</t>
  </si>
  <si>
    <t>I-T03-F02</t>
  </si>
  <si>
    <t>R-I-T03-F02</t>
  </si>
  <si>
    <t>T03-F02</t>
  </si>
  <si>
    <t>🐙▶️ Pass Runs; Field 2; owning artifact and its source requirements.</t>
  </si>
  <si>
    <t>Pass Runs / 3 Record ID</t>
  </si>
  <si>
    <t>I-T03-F03</t>
  </si>
  <si>
    <t>R-I-T03-F03</t>
  </si>
  <si>
    <t>T03-F03</t>
  </si>
  <si>
    <t>🐙▶️ Pass Runs; Field 3; owning artifact and its source requirements.</t>
  </si>
  <si>
    <t>Pass Runs / 4 Project</t>
  </si>
  <si>
    <t>Link to one exact record in Projects.</t>
  </si>
  <si>
    <t>I-T03-F04</t>
  </si>
  <si>
    <t>R-I-T03-F04</t>
  </si>
  <si>
    <t>T03-F04</t>
  </si>
  <si>
    <t>🐙▶️ Pass Runs; Field 4; target Projects Record ID column.</t>
  </si>
  <si>
    <t>Link to one exact record in Projects. Exact existing target Record ID; no labels or comma-separated lists.</t>
  </si>
  <si>
    <t>Open Projects in Reader using the stored target ID.</t>
  </si>
  <si>
    <t>Pass Runs / 5 Pass Definition</t>
  </si>
  <si>
    <t>Link to one exact record in Pass Definitions.</t>
  </si>
  <si>
    <t>I-T03-F05</t>
  </si>
  <si>
    <t>R-I-T03-F05</t>
  </si>
  <si>
    <t>T03-F05</t>
  </si>
  <si>
    <t>🐙▶️ Pass Runs; Field 5; target Pass Definitions Record ID column.</t>
  </si>
  <si>
    <t>Link to one exact record in Pass Definitions. Exact existing target Record ID; no labels or comma-separated lists.</t>
  </si>
  <si>
    <t>Open Pass Definitions in Reader using the stored target ID.</t>
  </si>
  <si>
    <t>Pass Runs / 6 Parent Run</t>
  </si>
  <si>
    <t>I-T03-F06</t>
  </si>
  <si>
    <t>R-I-T03-F06</t>
  </si>
  <si>
    <t>T03-F06</t>
  </si>
  <si>
    <t>🐙▶️ Pass Runs; Field 6; target Pass Runs Record ID column.</t>
  </si>
  <si>
    <t>Pass Runs / 7 Wave Label</t>
  </si>
  <si>
    <t>Wave Label for Pass Runs: One execution of a Pass or Wave.</t>
  </si>
  <si>
    <t>I-T03-F07</t>
  </si>
  <si>
    <t>R-I-T03-F07</t>
  </si>
  <si>
    <t>T03-F07</t>
  </si>
  <si>
    <t>🐙▶️ Pass Runs; Field 7; owning artifact and its source requirements.</t>
  </si>
  <si>
    <t>Wave Label for Pass Runs: One execution of a Pass or Wave. Enter a literal value; preserve distinction between blank and zero.</t>
  </si>
  <si>
    <t>Enter project-specific wave label.</t>
  </si>
  <si>
    <t>Pass Runs / 8 Execution Order</t>
  </si>
  <si>
    <t>Execution Order for Pass Runs: One execution of a Pass or Wave.</t>
  </si>
  <si>
    <t>I-T03-F08</t>
  </si>
  <si>
    <t>R-I-T03-F08</t>
  </si>
  <si>
    <t>T03-F08</t>
  </si>
  <si>
    <t>🐙▶️ Pass Runs; Field 8; owning artifact and its source requirements.</t>
  </si>
  <si>
    <t>Execution Order for Pass Runs: One execution of a Pass or Wave. Integer value; order and revision fields positive; quantity and link minima may be zero.</t>
  </si>
  <si>
    <t>Pass Runs / 9 Previous Attempt</t>
  </si>
  <si>
    <t>I-T03-F09</t>
  </si>
  <si>
    <t>R-I-T03-F09</t>
  </si>
  <si>
    <t>T03-F09</t>
  </si>
  <si>
    <t>🐙▶️ Pass Runs; Field 9; target Pass Runs Record ID column.</t>
  </si>
  <si>
    <t>Pass Runs / 10 Work State</t>
  </si>
  <si>
    <t>Work State for Pass Runs: One execution of a Pass or Wave.</t>
  </si>
  <si>
    <t>I-T03-F10</t>
  </si>
  <si>
    <t>R-I-T03-F10</t>
  </si>
  <si>
    <t>T03-F10</t>
  </si>
  <si>
    <t>🐙▶️ Pass Runs; Field 10; owning artifact and its source requirements.</t>
  </si>
  <si>
    <t>Work State for Pass Runs: One execution of a Pass or Wave. Use exactly one listed allowed value.</t>
  </si>
  <si>
    <t>Pass Runs / 11 Decision Record</t>
  </si>
  <si>
    <t>Decision Record for Pass Runs: One execution of a Pass or Wave.</t>
  </si>
  <si>
    <t>I-T03-F11</t>
  </si>
  <si>
    <t>R-I-T03-F11</t>
  </si>
  <si>
    <t>T03-F11</t>
  </si>
  <si>
    <t>🐙▶️ Pass Runs; Field 11; owning artifact and its source requirements.</t>
  </si>
  <si>
    <t>Decision Record for Pass Runs: One execution of a Pass or Wave. Enter a literal value; preserve distinction between blank and zero.</t>
  </si>
  <si>
    <t>Enter project-specific decision record.</t>
  </si>
  <si>
    <t>Pass Runs / 12 Handoff</t>
  </si>
  <si>
    <t>Handoff for Pass Runs: One execution of a Pass or Wave.</t>
  </si>
  <si>
    <t>I-T03-F12</t>
  </si>
  <si>
    <t>R-I-T03-F12</t>
  </si>
  <si>
    <t>T03-F12</t>
  </si>
  <si>
    <t>🐙▶️ Pass Runs; Field 12; owning artifact and its source requirements.</t>
  </si>
  <si>
    <t>Handoff for Pass Runs: One execution of a Pass or Wave. Enter a literal value; preserve distinction between blank and zero.</t>
  </si>
  <si>
    <t>Enter project-specific handoff.</t>
  </si>
  <si>
    <t>Pass Runs / 13 Evidence Origin</t>
  </si>
  <si>
    <t>Evidence Origin for Pass Runs: One execution of a Pass or Wave.</t>
  </si>
  <si>
    <t>I-T03-F13</t>
  </si>
  <si>
    <t>R-I-T03-F13</t>
  </si>
  <si>
    <t>T03-F13</t>
  </si>
  <si>
    <t>🐙▶️ Pass Runs; Field 13; owning artifact and its source requirements.</t>
  </si>
  <si>
    <t>Evidence Origin for Pass Runs: One execution of a Pass or Wave. Use exactly one listed allowed value.</t>
  </si>
  <si>
    <t>Instructions use</t>
  </si>
  <si>
    <t>I-T04</t>
  </si>
  <si>
    <t>R-I-T04</t>
  </si>
  <si>
    <t>T04</t>
  </si>
  <si>
    <t>Record Revisions; Table Dictionary; Field Dictionary</t>
  </si>
  <si>
    <t>Instructions / 1 Name</t>
  </si>
  <si>
    <t>I-T04-F01</t>
  </si>
  <si>
    <t>R-I-T04-F01</t>
  </si>
  <si>
    <t>T04-F01</t>
  </si>
  <si>
    <t>📖🧭 Instructions; Field 1; owning artifact and its source requirements.</t>
  </si>
  <si>
    <t>Instructions / 2 Description</t>
  </si>
  <si>
    <t>I-T04-F02</t>
  </si>
  <si>
    <t>R-I-T04-F02</t>
  </si>
  <si>
    <t>T04-F02</t>
  </si>
  <si>
    <t>📖🧭 Instructions; Field 2; owning artifact and its source requirements.</t>
  </si>
  <si>
    <t>Instructions / 3 Record ID</t>
  </si>
  <si>
    <t>I-T04-F03</t>
  </si>
  <si>
    <t>R-I-T04-F03</t>
  </si>
  <si>
    <t>T04-F03</t>
  </si>
  <si>
    <t>📖🧭 Instructions; Field 3; owning artifact and its source requirements.</t>
  </si>
  <si>
    <t>Instructions / 4 Revision</t>
  </si>
  <si>
    <t>I-T04-F04</t>
  </si>
  <si>
    <t>R-I-T04-F04</t>
  </si>
  <si>
    <t>T04-F04</t>
  </si>
  <si>
    <t>📖🧭 Instructions; Field 4; target Record Revisions Record ID column.</t>
  </si>
  <si>
    <t>Instructions / 5 Scope</t>
  </si>
  <si>
    <t>Scope for Instructions: One versioned read-and-use instruction.</t>
  </si>
  <si>
    <t>I-T04-F05</t>
  </si>
  <si>
    <t>R-I-T04-F05</t>
  </si>
  <si>
    <t>T04-F05</t>
  </si>
  <si>
    <t>📖🧭 Instructions; Field 5; owning artifact and its source requirements.</t>
  </si>
  <si>
    <t>Scope for Instructions: One versioned read-and-use instruction. Use exactly one listed allowed value.</t>
  </si>
  <si>
    <t>Instructions / 6 Target Table</t>
  </si>
  <si>
    <t>Link to one exact record in Table Dictionary.</t>
  </si>
  <si>
    <t>I-T04-F06</t>
  </si>
  <si>
    <t>R-I-T04-F06</t>
  </si>
  <si>
    <t>T04-F06</t>
  </si>
  <si>
    <t>📖🧭 Instructions; Field 6; target Table Dictionary Record ID column.</t>
  </si>
  <si>
    <t>Required for TABLE and FIELD instruction scope.</t>
  </si>
  <si>
    <t>Link to one exact record in Table Dictionary. Exact existing target Record ID; no labels or comma-separated lists.</t>
  </si>
  <si>
    <t>Open Table Dictionary in Reader using the stored target ID.</t>
  </si>
  <si>
    <t>Instructions / 7 Target Field</t>
  </si>
  <si>
    <t>Link to one exact record in Field Dictionary.</t>
  </si>
  <si>
    <t>I-T04-F07</t>
  </si>
  <si>
    <t>R-I-T04-F07</t>
  </si>
  <si>
    <t>T04-F07</t>
  </si>
  <si>
    <t>📖🧭 Instructions; Field 7; target Field Dictionary Record ID column.</t>
  </si>
  <si>
    <t>Required when Scope = FIELD.</t>
  </si>
  <si>
    <t>Link to one exact record in Field Dictionary. Exact existing target Record ID; no labels or comma-separated lists.</t>
  </si>
  <si>
    <t>Open Field Dictionary in Reader using the stored target ID.</t>
  </si>
  <si>
    <t>Instructions / 8 Read First</t>
  </si>
  <si>
    <t>Authoritative material and prerequisite records to read before acting.</t>
  </si>
  <si>
    <t>I-T04-F08</t>
  </si>
  <si>
    <t>R-I-T04-F08</t>
  </si>
  <si>
    <t>T04-F08</t>
  </si>
  <si>
    <t>📖🧭 Instructions; Field 8; owning artifact and its source requirements.</t>
  </si>
  <si>
    <t>Authoritative material and prerequisite records to read before acting. Enter a literal value; preserve distinction between blank and zero.</t>
  </si>
  <si>
    <t>Enter project-specific read first.</t>
  </si>
  <si>
    <t>Instructions / 9 Required When</t>
  </si>
  <si>
    <t>Condition that makes the field or operation mandatory.</t>
  </si>
  <si>
    <t>I-T04-F09</t>
  </si>
  <si>
    <t>R-I-T04-F09</t>
  </si>
  <si>
    <t>T04-F09</t>
  </si>
  <si>
    <t>📖🧭 Instructions; Field 9; owning artifact and its source requirements.</t>
  </si>
  <si>
    <t>Condition that makes the field or operation mandatory. Enter a literal value; preserve distinction between blank and zero.</t>
  </si>
  <si>
    <t>Enter project-specific required when.</t>
  </si>
  <si>
    <t>Instructions / 10 Procedure</t>
  </si>
  <si>
    <t>Ordered steps for entering data or performing the operation.</t>
  </si>
  <si>
    <t>I-T04-F10</t>
  </si>
  <si>
    <t>R-I-T04-F10</t>
  </si>
  <si>
    <t>T04-F10</t>
  </si>
  <si>
    <t>📖🧭 Instructions; Field 10; owning artifact and its source requirements.</t>
  </si>
  <si>
    <t>Ordered steps for entering data or performing the operation. Enter a literal value; preserve distinction between blank and zero.</t>
  </si>
  <si>
    <t>Enter project-specific procedure.</t>
  </si>
  <si>
    <t>Instructions / 11 Acceptance Rule</t>
  </si>
  <si>
    <t>Observable conditions for correct completion.</t>
  </si>
  <si>
    <t>I-T04-F11</t>
  </si>
  <si>
    <t>R-I-T04-F11</t>
  </si>
  <si>
    <t>T04-F11</t>
  </si>
  <si>
    <t>📖🧭 Instructions; Field 11; owning artifact and its source requirements.</t>
  </si>
  <si>
    <t>Observable conditions for correct completion. Enter a literal value; preserve distinction between blank and zero.</t>
  </si>
  <si>
    <t>Enter project-specific acceptance rule.</t>
  </si>
  <si>
    <t>Instructions / 12 Example</t>
  </si>
  <si>
    <t>Example for Instructions: One versioned read-and-use instruction.</t>
  </si>
  <si>
    <t>I-T04-F12</t>
  </si>
  <si>
    <t>R-I-T04-F12</t>
  </si>
  <si>
    <t>T04-F12</t>
  </si>
  <si>
    <t>📖🧭 Instructions; Field 12; owning artifact and its source requirements.</t>
  </si>
  <si>
    <t>Example for Instructions: One versioned read-and-use instruction. Enter a literal value; preserve distinction between blank and zero.</t>
  </si>
  <si>
    <t>Enter project-specific example.</t>
  </si>
  <si>
    <t>Instructions / 13 Next Traversal</t>
  </si>
  <si>
    <t>Next destination and the conditions allowing progression.</t>
  </si>
  <si>
    <t>I-T04-F13</t>
  </si>
  <si>
    <t>R-I-T04-F13</t>
  </si>
  <si>
    <t>T04-F13</t>
  </si>
  <si>
    <t>📖🧭 Instructions; Field 13; owning artifact and its source requirements.</t>
  </si>
  <si>
    <t>Next destination and the conditions allowing progression. Enter a literal value; preserve distinction between blank and zero.</t>
  </si>
  <si>
    <t>Enter project-specific next traversal.</t>
  </si>
  <si>
    <t>Record Revisions use</t>
  </si>
  <si>
    <t>One exact revision address and its payload pointer.</t>
  </si>
  <si>
    <t>I-T05</t>
  </si>
  <si>
    <t>R-I-T05</t>
  </si>
  <si>
    <t>T05</t>
  </si>
  <si>
    <t>Projects; Table Dictionary; Record Revisions; Pass Runs</t>
  </si>
  <si>
    <t>Record Revisions / 1 Name</t>
  </si>
  <si>
    <t>I-T05-F01</t>
  </si>
  <si>
    <t>R-I-T05-F01</t>
  </si>
  <si>
    <t>T05-F01</t>
  </si>
  <si>
    <t>🧩🔢 Record Revisions; Field 1; owning artifact and its source requirements.</t>
  </si>
  <si>
    <t>Record Revisions / 2 Description</t>
  </si>
  <si>
    <t>I-T05-F02</t>
  </si>
  <si>
    <t>R-I-T05-F02</t>
  </si>
  <si>
    <t>T05-F02</t>
  </si>
  <si>
    <t>🧩🔢 Record Revisions; Field 2; owning artifact and its source requirements.</t>
  </si>
  <si>
    <t>Record Revisions / 3 Record ID</t>
  </si>
  <si>
    <t>I-T05-F03</t>
  </si>
  <si>
    <t>R-I-T05-F03</t>
  </si>
  <si>
    <t>T05-F03</t>
  </si>
  <si>
    <t>🧩🔢 Record Revisions; Field 3; owning artifact and its source requirements.</t>
  </si>
  <si>
    <t>Record Revisions / 4 Artifact ID</t>
  </si>
  <si>
    <t>Stable identity retained across successive revisions.</t>
  </si>
  <si>
    <t>I-T05-F04</t>
  </si>
  <si>
    <t>R-I-T05-F04</t>
  </si>
  <si>
    <t>T05-F04</t>
  </si>
  <si>
    <t>🧩🔢 Record Revisions; Field 4; owning artifact and its source requirements.</t>
  </si>
  <si>
    <t>Stable identity retained across successive revisions. Enter a literal value; preserve distinction between blank and zero.</t>
  </si>
  <si>
    <t>Enter project-specific artifact id.</t>
  </si>
  <si>
    <t>Record Revisions / 5 Revision Number</t>
  </si>
  <si>
    <t>Positive integer increasing within the Artifact ID.</t>
  </si>
  <si>
    <t>I-T05-F05</t>
  </si>
  <si>
    <t>R-I-T05-F05</t>
  </si>
  <si>
    <t>T05-F05</t>
  </si>
  <si>
    <t>🧩🔢 Record Revisions; Field 5; owning artifact and its source requirements.</t>
  </si>
  <si>
    <t>Positive integer increasing within the Artifact ID. Integer value; order and revision fields positive; quantity and link minima may be zero.</t>
  </si>
  <si>
    <t>Record Revisions / 6 Project</t>
  </si>
  <si>
    <t>I-T05-F06</t>
  </si>
  <si>
    <t>R-I-T05-F06</t>
  </si>
  <si>
    <t>T05-F06</t>
  </si>
  <si>
    <t>🧩🔢 Record Revisions; Field 6; target Projects Record ID column.</t>
  </si>
  <si>
    <t>Record Revisions / 7 Payload Table</t>
  </si>
  <si>
    <t>I-T05-F07</t>
  </si>
  <si>
    <t>R-I-T05-F07</t>
  </si>
  <si>
    <t>T05-F07</t>
  </si>
  <si>
    <t>🧩🔢 Record Revisions; Field 7; target Table Dictionary Record ID column.</t>
  </si>
  <si>
    <t>Record Revisions / 8 Payload Record ID</t>
  </si>
  <si>
    <t>Existing Record ID in Payload Table, with a reciprocal Revision link.</t>
  </si>
  <si>
    <t>I-T05-F08</t>
  </si>
  <si>
    <t>R-I-T05-F08</t>
  </si>
  <si>
    <t>T05-F08</t>
  </si>
  <si>
    <t>🧩🔢 Record Revisions; Field 8; owning artifact and its source requirements.</t>
  </si>
  <si>
    <t>Existing Record ID in Payload Table, with a reciprocal Revision link. Enter a literal value; preserve distinction between blank and zero.</t>
  </si>
  <si>
    <t>Enter project-specific payload record id.</t>
  </si>
  <si>
    <t>Record Revisions / 9 Previous Revision</t>
  </si>
  <si>
    <t>Link to one exact record in Record Revisions.</t>
  </si>
  <si>
    <t>I-T05-F09</t>
  </si>
  <si>
    <t>R-I-T05-F09</t>
  </si>
  <si>
    <t>T05-F09</t>
  </si>
  <si>
    <t>🧩🔢 Record Revisions; Field 9; target Record Revisions Record ID column.</t>
  </si>
  <si>
    <t>Link to one exact record in Record Revisions. Exact existing target Record ID; no labels or comma-separated lists.</t>
  </si>
  <si>
    <t>Record Revisions / 10 Producing Run</t>
  </si>
  <si>
    <t>I-T05-F10</t>
  </si>
  <si>
    <t>R-I-T05-F10</t>
  </si>
  <si>
    <t>T05-F10</t>
  </si>
  <si>
    <t>🧩🔢 Record Revisions; Field 10; target Pass Runs Record ID column.</t>
  </si>
  <si>
    <t>Record Revisions / 11 Change Summary</t>
  </si>
  <si>
    <t>Change Summary for Record Revisions: One exact revision address and its payload pointer.</t>
  </si>
  <si>
    <t>I-T05-F11</t>
  </si>
  <si>
    <t>R-I-T05-F11</t>
  </si>
  <si>
    <t>T05-F11</t>
  </si>
  <si>
    <t>🧩🔢 Record Revisions; Field 11; owning artifact and its source requirements.</t>
  </si>
  <si>
    <t>Change Summary for Record Revisions: One exact revision address and its payload pointer. Enter a literal value; preserve distinction between blank and zero.</t>
  </si>
  <si>
    <t>Enter project-specific change summary.</t>
  </si>
  <si>
    <t>Record Revisions / 12 Evidence Origin</t>
  </si>
  <si>
    <t>Evidence Origin for Record Revisions: One exact revision address and its payload pointer.</t>
  </si>
  <si>
    <t>I-T05-F12</t>
  </si>
  <si>
    <t>R-I-T05-F12</t>
  </si>
  <si>
    <t>T05-F12</t>
  </si>
  <si>
    <t>🧩🔢 Record Revisions; Field 12; owning artifact and its source requirements.</t>
  </si>
  <si>
    <t>Evidence Origin for Record Revisions: One exact revision address and its payload pointer. Use exactly one listed allowed value.</t>
  </si>
  <si>
    <t>Record Revisions / 13 Clone Treatment</t>
  </si>
  <si>
    <t>Keep reference content, copy starter roles with new identities, or clear project history.</t>
  </si>
  <si>
    <t>I-T05-F13</t>
  </si>
  <si>
    <t>R-I-T05-F13</t>
  </si>
  <si>
    <t>T05-F13</t>
  </si>
  <si>
    <t>🧩🔢 Record Revisions; Field 13; owning artifact and its source requirements.</t>
  </si>
  <si>
    <t>Keep reference content, copy starter roles with new identities, or clear project history. Use exactly one listed allowed value.</t>
  </si>
  <si>
    <t>KEEP AS REFERENCE</t>
  </si>
  <si>
    <t>Sources use</t>
  </si>
  <si>
    <t>One identified source revision.</t>
  </si>
  <si>
    <t>I-T06</t>
  </si>
  <si>
    <t>R-I-T06</t>
  </si>
  <si>
    <t>T06</t>
  </si>
  <si>
    <t>Record Revisions; File Revisions</t>
  </si>
  <si>
    <t>Sources / 1 Name</t>
  </si>
  <si>
    <t>I-T06-F01</t>
  </si>
  <si>
    <t>R-I-T06-F01</t>
  </si>
  <si>
    <t>T06-F01</t>
  </si>
  <si>
    <t>📚🔎 Sources; Field 1; owning artifact and its source requirements.</t>
  </si>
  <si>
    <t>Sources / 2 Description</t>
  </si>
  <si>
    <t>I-T06-F02</t>
  </si>
  <si>
    <t>R-I-T06-F02</t>
  </si>
  <si>
    <t>T06-F02</t>
  </si>
  <si>
    <t>📚🔎 Sources; Field 2; owning artifact and its source requirements.</t>
  </si>
  <si>
    <t>Sources / 3 Record ID</t>
  </si>
  <si>
    <t>I-T06-F03</t>
  </si>
  <si>
    <t>R-I-T06-F03</t>
  </si>
  <si>
    <t>T06-F03</t>
  </si>
  <si>
    <t>📚🔎 Sources; Field 3; owning artifact and its source requirements.</t>
  </si>
  <si>
    <t>Sources / 4 Revision</t>
  </si>
  <si>
    <t>I-T06-F04</t>
  </si>
  <si>
    <t>R-I-T06-F04</t>
  </si>
  <si>
    <t>T06-F04</t>
  </si>
  <si>
    <t>📚🔎 Sources; Field 4; target Record Revisions Record ID column.</t>
  </si>
  <si>
    <t>Sources / 5 Source Kind</t>
  </si>
  <si>
    <t>Source Kind for Sources: One identified source revision.</t>
  </si>
  <si>
    <t>I-T06-F05</t>
  </si>
  <si>
    <t>R-I-T06-F05</t>
  </si>
  <si>
    <t>T06-F05</t>
  </si>
  <si>
    <t>📚🔎 Sources; Field 5; owning artifact and its source requirements.</t>
  </si>
  <si>
    <t>Source Kind for Sources: One identified source revision. Use exactly one listed allowed value.</t>
  </si>
  <si>
    <t>DOCUMENT</t>
  </si>
  <si>
    <t>Sources / 6 Local Snapshot</t>
  </si>
  <si>
    <t>I-T06-F06</t>
  </si>
  <si>
    <t>R-I-T06-F06</t>
  </si>
  <si>
    <t>T06-F06</t>
  </si>
  <si>
    <t>📚🔎 Sources; Field 6; target File Revisions Record ID column.</t>
  </si>
  <si>
    <t>Sources / 7 Source URL</t>
  </si>
  <si>
    <t>Source URL for Sources: One identified source revision.</t>
  </si>
  <si>
    <t>I-T06-F07</t>
  </si>
  <si>
    <t>R-I-T06-F07</t>
  </si>
  <si>
    <t>T06-F07</t>
  </si>
  <si>
    <t>📚🔎 Sources; Field 7; owning artifact and its source requirements.</t>
  </si>
  <si>
    <t>Source URL for Sources: One identified source revision. Enter a literal value; preserve distinction between blank and zero.</t>
  </si>
  <si>
    <t>Enter project-specific source url.</t>
  </si>
  <si>
    <t>Sources / 8 Source Version</t>
  </si>
  <si>
    <t>Source Version for Sources: One identified source revision.</t>
  </si>
  <si>
    <t>I-T06-F08</t>
  </si>
  <si>
    <t>R-I-T06-F08</t>
  </si>
  <si>
    <t>T06-F08</t>
  </si>
  <si>
    <t>📚🔎 Sources; Field 8; owning artifact and its source requirements.</t>
  </si>
  <si>
    <t>Source Version for Sources: One identified source revision. Enter a literal value; preserve distinction between blank and zero.</t>
  </si>
  <si>
    <t>Enter project-specific source version.</t>
  </si>
  <si>
    <t>Sources / 9 Provenance</t>
  </si>
  <si>
    <t>Provenance for Sources: One identified source revision.</t>
  </si>
  <si>
    <t>I-T06-F09</t>
  </si>
  <si>
    <t>R-I-T06-F09</t>
  </si>
  <si>
    <t>T06-F09</t>
  </si>
  <si>
    <t>📚🔎 Sources; Field 9; owning artifact and its source requirements.</t>
  </si>
  <si>
    <t>Provenance for Sources: One identified source revision. Enter a literal value; preserve distinction between blank and zero.</t>
  </si>
  <si>
    <t>Enter project-specific provenance.</t>
  </si>
  <si>
    <t>Sources / 10 Authority Role</t>
  </si>
  <si>
    <t>Authority Role for Sources: One identified source revision.</t>
  </si>
  <si>
    <t>I-T06-F10</t>
  </si>
  <si>
    <t>R-I-T06-F10</t>
  </si>
  <si>
    <t>T06-F10</t>
  </si>
  <si>
    <t>📚🔎 Sources; Field 10; owning artifact and its source requirements.</t>
  </si>
  <si>
    <t>Authority Role for Sources: One identified source revision. Use exactly one listed allowed value.</t>
  </si>
  <si>
    <t>GOVERNING</t>
  </si>
  <si>
    <t>Sources / 11 Use Conditions</t>
  </si>
  <si>
    <t>Use Conditions for Sources: One identified source revision.</t>
  </si>
  <si>
    <t>I-T06-F11</t>
  </si>
  <si>
    <t>R-I-T06-F11</t>
  </si>
  <si>
    <t>T06-F11</t>
  </si>
  <si>
    <t>📚🔎 Sources; Field 11; owning artifact and its source requirements.</t>
  </si>
  <si>
    <t>Use Conditions for Sources: One identified source revision. Enter a literal value; preserve distinction between blank and zero.</t>
  </si>
  <si>
    <t>Enter project-specific use conditions.</t>
  </si>
  <si>
    <t>Content Items use</t>
  </si>
  <si>
    <t>One versioned prose or semantic unit.</t>
  </si>
  <si>
    <t>I-T07</t>
  </si>
  <si>
    <t>R-I-T07</t>
  </si>
  <si>
    <t>T07</t>
  </si>
  <si>
    <t>Record Revisions; Content Items</t>
  </si>
  <si>
    <t>Content Items / 1 Name</t>
  </si>
  <si>
    <t>I-T07-F01</t>
  </si>
  <si>
    <t>R-I-T07-F01</t>
  </si>
  <si>
    <t>T07-F01</t>
  </si>
  <si>
    <t>📄🧩 Content Items; Field 1; owning artifact and its source requirements.</t>
  </si>
  <si>
    <t>Content Items / 2 Description</t>
  </si>
  <si>
    <t>I-T07-F02</t>
  </si>
  <si>
    <t>R-I-T07-F02</t>
  </si>
  <si>
    <t>T07-F02</t>
  </si>
  <si>
    <t>📄🧩 Content Items; Field 2; owning artifact and its source requirements.</t>
  </si>
  <si>
    <t>Content Items / 3 Record ID</t>
  </si>
  <si>
    <t>I-T07-F03</t>
  </si>
  <si>
    <t>R-I-T07-F03</t>
  </si>
  <si>
    <t>T07-F03</t>
  </si>
  <si>
    <t>📄🧩 Content Items; Field 3; owning artifact and its source requirements.</t>
  </si>
  <si>
    <t>Content Items / 4 Revision</t>
  </si>
  <si>
    <t>I-T07-F04</t>
  </si>
  <si>
    <t>R-I-T07-F04</t>
  </si>
  <si>
    <t>T07-F04</t>
  </si>
  <si>
    <t>📄🧩 Content Items; Field 4; target Record Revisions Record ID column.</t>
  </si>
  <si>
    <t>Content Items / 5 Content Kind</t>
  </si>
  <si>
    <t>Content Kind for Content Items: One versioned prose or semantic unit.</t>
  </si>
  <si>
    <t>I-T07-F05</t>
  </si>
  <si>
    <t>R-I-T07-F05</t>
  </si>
  <si>
    <t>T07-F05</t>
  </si>
  <si>
    <t>📄🧩 Content Items; Field 5; owning artifact and its source requirements.</t>
  </si>
  <si>
    <t>Content Kind for Content Items: One versioned prose or semantic unit. Use exactly one listed allowed value.</t>
  </si>
  <si>
    <t>SECTION</t>
  </si>
  <si>
    <t>Content Items / 6 Parent Item</t>
  </si>
  <si>
    <t>Link to one exact record in Content Items.</t>
  </si>
  <si>
    <t>I-T07-F06</t>
  </si>
  <si>
    <t>R-I-T07-F06</t>
  </si>
  <si>
    <t>T07-F06</t>
  </si>
  <si>
    <t>📄🧩 Content Items; Field 6; target Content Items Record ID column.</t>
  </si>
  <si>
    <t>Link to one exact record in Content Items. Exact existing target Record ID; no labels or comma-separated lists.</t>
  </si>
  <si>
    <t>Open Content Items in Reader using the stored target ID.</t>
  </si>
  <si>
    <t>Content Items / 7 Content Order</t>
  </si>
  <si>
    <t>Content Order for Content Items: One versioned prose or semantic unit.</t>
  </si>
  <si>
    <t>I-T07-F07</t>
  </si>
  <si>
    <t>R-I-T07-F07</t>
  </si>
  <si>
    <t>T07-F07</t>
  </si>
  <si>
    <t>📄🧩 Content Items; Field 7; owning artifact and its source requirements.</t>
  </si>
  <si>
    <t>Content Order for Content Items: One versioned prose or semantic unit. Integer value; order and revision fields positive; quantity and link minima may be zero.</t>
  </si>
  <si>
    <t>Content Items / 8 Text</t>
  </si>
  <si>
    <t>Exact claim, rule, definition, or prose to preserve.</t>
  </si>
  <si>
    <t>I-T07-F08</t>
  </si>
  <si>
    <t>R-I-T07-F08</t>
  </si>
  <si>
    <t>T07-F08</t>
  </si>
  <si>
    <t>📄🧩 Content Items; Field 8; owning artifact and its source requirements.</t>
  </si>
  <si>
    <t>Exact claim, rule, definition, or prose to preserve. Enter a literal value; preserve distinction between blank and zero.</t>
  </si>
  <si>
    <t>Enter project-specific text.</t>
  </si>
  <si>
    <t>Content Items / 9 Scope and Qualifications</t>
  </si>
  <si>
    <t>Scope and Qualifications for Content Items: One versioned prose or semantic unit.</t>
  </si>
  <si>
    <t>I-T07-F09</t>
  </si>
  <si>
    <t>R-I-T07-F09</t>
  </si>
  <si>
    <t>T07-F09</t>
  </si>
  <si>
    <t>📄🧩 Content Items; Field 9; owning artifact and its source requirements.</t>
  </si>
  <si>
    <t>Scope and Qualifications for Content Items: One versioned prose or semantic unit. Enter a literal value; preserve distinction between blank and zero.</t>
  </si>
  <si>
    <t>Enter project-specific scope and qualifications.</t>
  </si>
  <si>
    <t>Content Items / 10 Basis</t>
  </si>
  <si>
    <t>Basis for Content Items: One versioned prose or semantic unit.</t>
  </si>
  <si>
    <t>I-T07-F10</t>
  </si>
  <si>
    <t>R-I-T07-F10</t>
  </si>
  <si>
    <t>T07-F10</t>
  </si>
  <si>
    <t>📄🧩 Content Items; Field 10; owning artifact and its source requirements.</t>
  </si>
  <si>
    <t>Basis for Content Items: One versioned prose or semantic unit. Use exactly one listed allowed value.</t>
  </si>
  <si>
    <t>SOURCE SUPPORTED</t>
  </si>
  <si>
    <t>Content Items / 11 Acceptance Criteria</t>
  </si>
  <si>
    <t>Acceptance Criteria for Content Items: One versioned prose or semantic unit.</t>
  </si>
  <si>
    <t>I-T07-F11</t>
  </si>
  <si>
    <t>R-I-T07-F11</t>
  </si>
  <si>
    <t>T07-F11</t>
  </si>
  <si>
    <t>📄🧩 Content Items; Field 11; owning artifact and its source requirements.</t>
  </si>
  <si>
    <t>Acceptance Criteria for Content Items: One versioned prose or semantic unit. Enter a literal value; preserve distinction between blank and zero.</t>
  </si>
  <si>
    <t>Enter project-specific acceptance criteria.</t>
  </si>
  <si>
    <t>Figure Contracts use</t>
  </si>
  <si>
    <t>One versioned explanatory obligation.</t>
  </si>
  <si>
    <t>I-T08</t>
  </si>
  <si>
    <t>R-I-T08</t>
  </si>
  <si>
    <t>T08</t>
  </si>
  <si>
    <t>Record Revisions</t>
  </si>
  <si>
    <t>Figure Contracts / 1 Name</t>
  </si>
  <si>
    <t>I-T08-F01</t>
  </si>
  <si>
    <t>R-I-T08-F01</t>
  </si>
  <si>
    <t>T08-F01</t>
  </si>
  <si>
    <t>🖼️📋 Figure Contracts; Field 1; owning artifact and its source requirements.</t>
  </si>
  <si>
    <t>Figure Contracts / 2 Description</t>
  </si>
  <si>
    <t>I-T08-F02</t>
  </si>
  <si>
    <t>R-I-T08-F02</t>
  </si>
  <si>
    <t>T08-F02</t>
  </si>
  <si>
    <t>🖼️📋 Figure Contracts; Field 2; owning artifact and its source requirements.</t>
  </si>
  <si>
    <t>Figure Contracts / 3 Record ID</t>
  </si>
  <si>
    <t>I-T08-F03</t>
  </si>
  <si>
    <t>R-I-T08-F03</t>
  </si>
  <si>
    <t>T08-F03</t>
  </si>
  <si>
    <t>🖼️📋 Figure Contracts; Field 3; owning artifact and its source requirements.</t>
  </si>
  <si>
    <t>Figure Contracts / 4 Revision</t>
  </si>
  <si>
    <t>I-T08-F04</t>
  </si>
  <si>
    <t>R-I-T08-F04</t>
  </si>
  <si>
    <t>T08-F04</t>
  </si>
  <si>
    <t>🖼️📋 Figure Contracts; Field 4; target Record Revisions Record ID column.</t>
  </si>
  <si>
    <t>Figure Contracts / 5 Figure Role ID</t>
  </si>
  <si>
    <t>Figure Role ID for Figure Contracts: One versioned explanatory obligation.</t>
  </si>
  <si>
    <t>I-T08-F05</t>
  </si>
  <si>
    <t>R-I-T08-F05</t>
  </si>
  <si>
    <t>T08-F05</t>
  </si>
  <si>
    <t>🖼️📋 Figure Contracts; Field 5; owning artifact and its source requirements.</t>
  </si>
  <si>
    <t>Figure Role ID for Figure Contracts: One versioned explanatory obligation. Enter a literal value; preserve distinction between blank and zero.</t>
  </si>
  <si>
    <t>Enter project-specific figure role id.</t>
  </si>
  <si>
    <t>Figure Contracts / 6 Reader Question</t>
  </si>
  <si>
    <t>Reader Question for Figure Contracts: One versioned explanatory obligation.</t>
  </si>
  <si>
    <t>I-T08-F06</t>
  </si>
  <si>
    <t>R-I-T08-F06</t>
  </si>
  <si>
    <t>T08-F06</t>
  </si>
  <si>
    <t>🖼️📋 Figure Contracts; Field 6; owning artifact and its source requirements.</t>
  </si>
  <si>
    <t>Reader Question for Figure Contracts: One versioned explanatory obligation. Enter a literal value; preserve distinction between blank and zero.</t>
  </si>
  <si>
    <t>Enter project-specific reader question.</t>
  </si>
  <si>
    <t>Figure Contracts / 7 Must Show</t>
  </si>
  <si>
    <t>Individually checkable relationships and facts the figure must show.</t>
  </si>
  <si>
    <t>I-T08-F07</t>
  </si>
  <si>
    <t>R-I-T08-F07</t>
  </si>
  <si>
    <t>T08-F07</t>
  </si>
  <si>
    <t>🖼️📋 Figure Contracts; Field 7; owning artifact and its source requirements.</t>
  </si>
  <si>
    <t>Individually checkable relationships and facts the figure must show. Enter a literal value; preserve distinction between blank and zero.</t>
  </si>
  <si>
    <t>Enter project-specific must show.</t>
  </si>
  <si>
    <t>Figure Contracts / 8 Must Not Imply</t>
  </si>
  <si>
    <t>Specific misleading interpretations to prevent.</t>
  </si>
  <si>
    <t>I-T08-F08</t>
  </si>
  <si>
    <t>R-I-T08-F08</t>
  </si>
  <si>
    <t>T08-F08</t>
  </si>
  <si>
    <t>🖼️📋 Figure Contracts; Field 8; owning artifact and its source requirements.</t>
  </si>
  <si>
    <t>Specific misleading interpretations to prevent. Enter a literal value; preserve distinction between blank and zero.</t>
  </si>
  <si>
    <t>Enter project-specific must not imply.</t>
  </si>
  <si>
    <t>Figure Contracts / 9 Visual Encoding</t>
  </si>
  <si>
    <t>Visual Encoding for Figure Contracts: One versioned explanatory obligation.</t>
  </si>
  <si>
    <t>I-T08-F09</t>
  </si>
  <si>
    <t>R-I-T08-F09</t>
  </si>
  <si>
    <t>T08-F09</t>
  </si>
  <si>
    <t>🖼️📋 Figure Contracts; Field 9; owning artifact and its source requirements.</t>
  </si>
  <si>
    <t>Visual Encoding for Figure Contracts: One versioned explanatory obligation. Enter a literal value; preserve distinction between blank and zero.</t>
  </si>
  <si>
    <t>Enter project-specific visual encoding.</t>
  </si>
  <si>
    <t>Figure Contracts / 10 Caption Requirements</t>
  </si>
  <si>
    <t>Caption Requirements for Figure Contracts: One versioned explanatory obligation.</t>
  </si>
  <si>
    <t>I-T08-F10</t>
  </si>
  <si>
    <t>R-I-T08-F10</t>
  </si>
  <si>
    <t>T08-F10</t>
  </si>
  <si>
    <t>🖼️📋 Figure Contracts; Field 10; owning artifact and its source requirements.</t>
  </si>
  <si>
    <t>Caption Requirements for Figure Contracts: One versioned explanatory obligation. Enter a literal value; preserve distinction between blank and zero.</t>
  </si>
  <si>
    <t>Enter project-specific caption requirements.</t>
  </si>
  <si>
    <t>Figure Contracts / 11 Acceptance Criteria</t>
  </si>
  <si>
    <t>Acceptance Criteria for Figure Contracts: One versioned explanatory obligation.</t>
  </si>
  <si>
    <t>I-T08-F11</t>
  </si>
  <si>
    <t>R-I-T08-F11</t>
  </si>
  <si>
    <t>T08-F11</t>
  </si>
  <si>
    <t>🖼️📋 Figure Contracts; Field 11; owning artifact and its source requirements.</t>
  </si>
  <si>
    <t>Acceptance Criteria for Figure Contracts: One versioned explanatory obligation. Enter a literal value; preserve distinction between blank and zero.</t>
  </si>
  <si>
    <t>Asset Requirements use</t>
  </si>
  <si>
    <t>One versioned stable ingredient role.</t>
  </si>
  <si>
    <t>I-T09</t>
  </si>
  <si>
    <t>R-I-T09</t>
  </si>
  <si>
    <t>T09</t>
  </si>
  <si>
    <t>Asset Requirements / 1 Name</t>
  </si>
  <si>
    <t>I-T09-F01</t>
  </si>
  <si>
    <t>R-I-T09-F01</t>
  </si>
  <si>
    <t>T09-F01</t>
  </si>
  <si>
    <t>🧰📋 Asset Requirements; Field 1; owning artifact and its source requirements.</t>
  </si>
  <si>
    <t>Asset Requirements / 2 Description</t>
  </si>
  <si>
    <t>I-T09-F02</t>
  </si>
  <si>
    <t>R-I-T09-F02</t>
  </si>
  <si>
    <t>T09-F02</t>
  </si>
  <si>
    <t>🧰📋 Asset Requirements; Field 2; owning artifact and its source requirements.</t>
  </si>
  <si>
    <t>Asset Requirements / 3 Record ID</t>
  </si>
  <si>
    <t>I-T09-F03</t>
  </si>
  <si>
    <t>R-I-T09-F03</t>
  </si>
  <si>
    <t>T09-F03</t>
  </si>
  <si>
    <t>🧰📋 Asset Requirements; Field 3; owning artifact and its source requirements.</t>
  </si>
  <si>
    <t>Asset Requirements / 4 Revision</t>
  </si>
  <si>
    <t>I-T09-F04</t>
  </si>
  <si>
    <t>R-I-T09-F04</t>
  </si>
  <si>
    <t>T09-F04</t>
  </si>
  <si>
    <t>🧰📋 Asset Requirements; Field 4; target Record Revisions Record ID column.</t>
  </si>
  <si>
    <t>Asset Requirements / 5 Asset Role ID</t>
  </si>
  <si>
    <t>Asset Role ID for Asset Requirements: One versioned stable ingredient role.</t>
  </si>
  <si>
    <t>I-T09-F05</t>
  </si>
  <si>
    <t>R-I-T09-F05</t>
  </si>
  <si>
    <t>T09-F05</t>
  </si>
  <si>
    <t>🧰📋 Asset Requirements; Field 5; owning artifact and its source requirements.</t>
  </si>
  <si>
    <t>Asset Role ID for Asset Requirements: One versioned stable ingredient role. Enter a literal value; preserve distinction between blank and zero.</t>
  </si>
  <si>
    <t>Enter project-specific asset role id.</t>
  </si>
  <si>
    <t>Asset Requirements / 6 Asset Kind</t>
  </si>
  <si>
    <t>Asset Kind for Asset Requirements: One versioned stable ingredient role.</t>
  </si>
  <si>
    <t>I-T09-F06</t>
  </si>
  <si>
    <t>R-I-T09-F06</t>
  </si>
  <si>
    <t>T09-F06</t>
  </si>
  <si>
    <t>🧰📋 Asset Requirements; Field 6; owning artifact and its source requirements.</t>
  </si>
  <si>
    <t>Asset Kind for Asset Requirements: One versioned stable ingredient role. Use exactly one listed allowed value.</t>
  </si>
  <si>
    <t>SOURCE IMAGE</t>
  </si>
  <si>
    <t>Asset Requirements / 7 Semantic Requirements</t>
  </si>
  <si>
    <t>Semantic Requirements for Asset Requirements: One versioned stable ingredient role.</t>
  </si>
  <si>
    <t>I-T09-F07</t>
  </si>
  <si>
    <t>R-I-T09-F07</t>
  </si>
  <si>
    <t>T09-F07</t>
  </si>
  <si>
    <t>🧰📋 Asset Requirements; Field 7; owning artifact and its source requirements.</t>
  </si>
  <si>
    <t>Semantic Requirements for Asset Requirements: One versioned stable ingredient role. Enter a literal value; preserve distinction between blank and zero.</t>
  </si>
  <si>
    <t>Enter project-specific semantic requirements.</t>
  </si>
  <si>
    <t>Asset Requirements / 8 Technical Requirements</t>
  </si>
  <si>
    <t>Technical Requirements for Asset Requirements: One versioned stable ingredient role.</t>
  </si>
  <si>
    <t>I-T09-F08</t>
  </si>
  <si>
    <t>R-I-T09-F08</t>
  </si>
  <si>
    <t>T09-F08</t>
  </si>
  <si>
    <t>🧰📋 Asset Requirements; Field 8; owning artifact and its source requirements.</t>
  </si>
  <si>
    <t>Technical Requirements for Asset Requirements: One versioned stable ingredient role. Enter a literal value; preserve distinction between blank and zero.</t>
  </si>
  <si>
    <t>Enter project-specific technical requirements.</t>
  </si>
  <si>
    <t>Asset Requirements / 9 Acquisition Instructions</t>
  </si>
  <si>
    <t>Acquisition Instructions for Asset Requirements: One versioned stable ingredient role.</t>
  </si>
  <si>
    <t>I-T09-F09</t>
  </si>
  <si>
    <t>R-I-T09-F09</t>
  </si>
  <si>
    <t>T09-F09</t>
  </si>
  <si>
    <t>🧰📋 Asset Requirements; Field 9; owning artifact and its source requirements.</t>
  </si>
  <si>
    <t>Acquisition Instructions for Asset Requirements: One versioned stable ingredient role. Enter a literal value; preserve distinction between blank and zero.</t>
  </si>
  <si>
    <t>Enter project-specific acquisition instructions.</t>
  </si>
  <si>
    <t>Asset Requirements / 10 Reuse Conditions</t>
  </si>
  <si>
    <t>Reuse Conditions for Asset Requirements: One versioned stable ingredient role.</t>
  </si>
  <si>
    <t>I-T09-F10</t>
  </si>
  <si>
    <t>R-I-T09-F10</t>
  </si>
  <si>
    <t>T09-F10</t>
  </si>
  <si>
    <t>🧰📋 Asset Requirements; Field 10; owning artifact and its source requirements.</t>
  </si>
  <si>
    <t>Reuse Conditions for Asset Requirements: One versioned stable ingredient role. Enter a literal value; preserve distinction between blank and zero.</t>
  </si>
  <si>
    <t>Enter project-specific reuse conditions.</t>
  </si>
  <si>
    <t>Asset Requirements / 11 Acceptance Criteria</t>
  </si>
  <si>
    <t>Acceptance Criteria for Asset Requirements: One versioned stable ingredient role.</t>
  </si>
  <si>
    <t>I-T09-F11</t>
  </si>
  <si>
    <t>R-I-T09-F11</t>
  </si>
  <si>
    <t>T09-F11</t>
  </si>
  <si>
    <t>🧰📋 Asset Requirements; Field 11; owning artifact and its source requirements.</t>
  </si>
  <si>
    <t>Acceptance Criteria for Asset Requirements: One versioned stable ingredient role. Enter a literal value; preserve distinction between blank and zero.</t>
  </si>
  <si>
    <t>File Revisions use</t>
  </si>
  <si>
    <t>One identified file and its exact bytes.</t>
  </si>
  <si>
    <t>I-T10</t>
  </si>
  <si>
    <t>R-I-T10</t>
  </si>
  <si>
    <t>T10</t>
  </si>
  <si>
    <t>File Revisions / 1 Name</t>
  </si>
  <si>
    <t>I-T10-F01</t>
  </si>
  <si>
    <t>R-I-T10-F01</t>
  </si>
  <si>
    <t>T10-F01</t>
  </si>
  <si>
    <t>📎🔢 File Revisions; Field 1; owning artifact and its source requirements.</t>
  </si>
  <si>
    <t>File Revisions / 2 Description</t>
  </si>
  <si>
    <t>I-T10-F02</t>
  </si>
  <si>
    <t>R-I-T10-F02</t>
  </si>
  <si>
    <t>T10-F02</t>
  </si>
  <si>
    <t>📎🔢 File Revisions; Field 2; owning artifact and its source requirements.</t>
  </si>
  <si>
    <t>File Revisions / 3 Record ID</t>
  </si>
  <si>
    <t>I-T10-F03</t>
  </si>
  <si>
    <t>R-I-T10-F03</t>
  </si>
  <si>
    <t>T10-F03</t>
  </si>
  <si>
    <t>📎🔢 File Revisions; Field 3; owning artifact and its source requirements.</t>
  </si>
  <si>
    <t>File Revisions / 4 Revision</t>
  </si>
  <si>
    <t>I-T10-F04</t>
  </si>
  <si>
    <t>R-I-T10-F04</t>
  </si>
  <si>
    <t>T10-F04</t>
  </si>
  <si>
    <t>📎🔢 File Revisions; Field 4; target Record Revisions Record ID column.</t>
  </si>
  <si>
    <t>File Revisions / 5 File Kind</t>
  </si>
  <si>
    <t>File Kind for File Revisions: One identified file and its exact bytes.</t>
  </si>
  <si>
    <t>I-T10-F05</t>
  </si>
  <si>
    <t>R-I-T10-F05</t>
  </si>
  <si>
    <t>T10-F05</t>
  </si>
  <si>
    <t>📎🔢 File Revisions; Field 5; owning artifact and its source requirements.</t>
  </si>
  <si>
    <t>File Kind for File Revisions: One identified file and its exact bytes. Use exactly one listed allowed value.</t>
  </si>
  <si>
    <t>SOURCE</t>
  </si>
  <si>
    <t>File Revisions / 6 Local Path</t>
  </si>
  <si>
    <t>Portable path relative to the extracted operational package root.</t>
  </si>
  <si>
    <t>I-T10-F06</t>
  </si>
  <si>
    <t>R-I-T10-F06</t>
  </si>
  <si>
    <t>T10-F06</t>
  </si>
  <si>
    <t>📎🔢 File Revisions; Field 6; owning artifact and its source requirements.</t>
  </si>
  <si>
    <t>Portable path relative to the extracted operational package root. Enter a literal value; preserve distinction between blank and zero.</t>
  </si>
  <si>
    <t>Enter project-specific local path.</t>
  </si>
  <si>
    <t>File Revisions / 7 Online URL</t>
  </si>
  <si>
    <t>Online URL for File Revisions: One identified file and its exact bytes.</t>
  </si>
  <si>
    <t>I-T10-F07</t>
  </si>
  <si>
    <t>R-I-T10-F07</t>
  </si>
  <si>
    <t>T10-F07</t>
  </si>
  <si>
    <t>📎🔢 File Revisions; Field 7; owning artifact and its source requirements.</t>
  </si>
  <si>
    <t>Online URL for File Revisions: One identified file and its exact bytes. Enter a literal value; preserve distinction between blank and zero.</t>
  </si>
  <si>
    <t>Enter project-specific online url.</t>
  </si>
  <si>
    <t>File Revisions / 8 Media Type</t>
  </si>
  <si>
    <t>Media Type for File Revisions: One identified file and its exact bytes.</t>
  </si>
  <si>
    <t>I-T10-F08</t>
  </si>
  <si>
    <t>R-I-T10-F08</t>
  </si>
  <si>
    <t>T10-F08</t>
  </si>
  <si>
    <t>📎🔢 File Revisions; Field 8; owning artifact and its source requirements.</t>
  </si>
  <si>
    <t>Media Type for File Revisions: One identified file and its exact bytes. Enter a literal value; preserve distinction between blank and zero.</t>
  </si>
  <si>
    <t>Enter project-specific media type.</t>
  </si>
  <si>
    <t>File Revisions / 9 SHA-256</t>
  </si>
  <si>
    <t>64 lowercase hexadecimal characters identifying exact file bytes.</t>
  </si>
  <si>
    <t>I-T10-F09</t>
  </si>
  <si>
    <t>R-I-T10-F09</t>
  </si>
  <si>
    <t>T10-F09</t>
  </si>
  <si>
    <t>📎🔢 File Revisions; Field 9; owning artifact and its source requirements.</t>
  </si>
  <si>
    <t>64 lowercase hexadecimal characters identifying exact file bytes. Enter a literal value; preserve distinction between blank and zero.</t>
  </si>
  <si>
    <t>Enter project-specific sha-256.</t>
  </si>
  <si>
    <t>File Revisions / 10 Byte Size</t>
  </si>
  <si>
    <t>Byte Size for File Revisions: One identified file and its exact bytes.</t>
  </si>
  <si>
    <t>I-T10-F10</t>
  </si>
  <si>
    <t>R-I-T10-F10</t>
  </si>
  <si>
    <t>T10-F10</t>
  </si>
  <si>
    <t>📎🔢 File Revisions; Field 10; owning artifact and its source requirements.</t>
  </si>
  <si>
    <t>Byte Size for File Revisions: One identified file and its exact bytes. Integer value; order and revision fields positive; quantity and link minima may be zero.</t>
  </si>
  <si>
    <t>File Revisions / 11 Provenance</t>
  </si>
  <si>
    <t>Provenance for File Revisions: One identified file and its exact bytes.</t>
  </si>
  <si>
    <t>I-T10-F11</t>
  </si>
  <si>
    <t>R-I-T10-F11</t>
  </si>
  <si>
    <t>T10-F11</t>
  </si>
  <si>
    <t>📎🔢 File Revisions; Field 11; owning artifact and its source requirements.</t>
  </si>
  <si>
    <t>Provenance for File Revisions: One identified file and its exact bytes. Enter a literal value; preserve distinction between blank and zero.</t>
  </si>
  <si>
    <t>File Revisions / 12 Reproduction Instructions</t>
  </si>
  <si>
    <t>Reproduction Instructions for File Revisions: One identified file and its exact bytes.</t>
  </si>
  <si>
    <t>I-T10-F12</t>
  </si>
  <si>
    <t>R-I-T10-F12</t>
  </si>
  <si>
    <t>T10-F12</t>
  </si>
  <si>
    <t>📎🔢 File Revisions; Field 12; owning artifact and its source requirements.</t>
  </si>
  <si>
    <t>Reproduction Instructions for File Revisions: One identified file and its exact bytes. Enter a literal value; preserve distinction between blank and zero.</t>
  </si>
  <si>
    <t>Enter project-specific reproduction instructions.</t>
  </si>
  <si>
    <t>File Revisions / 13 Availability</t>
  </si>
  <si>
    <t>EXTERNAL means registered outside the standalone workbook; AVAILABLE means verified accessible in the current operational package. Metadata alone does not make bytes available.</t>
  </si>
  <si>
    <t>I-T10-F13</t>
  </si>
  <si>
    <t>R-I-T10-F13</t>
  </si>
  <si>
    <t>T10-F13</t>
  </si>
  <si>
    <t>📎🔢 File Revisions; Field 13; owning artifact and its source requirements.</t>
  </si>
  <si>
    <t>EXTERNAL means registered outside the standalone workbook; AVAILABLE means verified accessible in the current operational package. Metadata alone does not make bytes available. Use exactly one listed allowed value.</t>
  </si>
  <si>
    <t>EXTERNAL</t>
  </si>
  <si>
    <t>Figure Outputs use</t>
  </si>
  <si>
    <t>One implementation of a Figure Contract.</t>
  </si>
  <si>
    <t>I-T11</t>
  </si>
  <si>
    <t>R-I-T11</t>
  </si>
  <si>
    <t>T11</t>
  </si>
  <si>
    <t>Record Revisions; Figure Contracts; File Revisions; File Revisions; Requirement Fulfillment</t>
  </si>
  <si>
    <t>Figure Outputs / 1 Name</t>
  </si>
  <si>
    <t>I-T11-F01</t>
  </si>
  <si>
    <t>R-I-T11-F01</t>
  </si>
  <si>
    <t>T11-F01</t>
  </si>
  <si>
    <t>🖼️📦 Figure Outputs; Field 1; owning artifact and its source requirements.</t>
  </si>
  <si>
    <t>Figure Outputs / 2 Description</t>
  </si>
  <si>
    <t>I-T11-F02</t>
  </si>
  <si>
    <t>R-I-T11-F02</t>
  </si>
  <si>
    <t>T11-F02</t>
  </si>
  <si>
    <t>🖼️📦 Figure Outputs; Field 2; owning artifact and its source requirements.</t>
  </si>
  <si>
    <t>Figure Outputs / 3 Record ID</t>
  </si>
  <si>
    <t>I-T11-F03</t>
  </si>
  <si>
    <t>R-I-T11-F03</t>
  </si>
  <si>
    <t>T11-F03</t>
  </si>
  <si>
    <t>🖼️📦 Figure Outputs; Field 3; owning artifact and its source requirements.</t>
  </si>
  <si>
    <t>Figure Outputs / 4 Revision</t>
  </si>
  <si>
    <t>I-T11-F04</t>
  </si>
  <si>
    <t>R-I-T11-F04</t>
  </si>
  <si>
    <t>T11-F04</t>
  </si>
  <si>
    <t>🖼️📦 Figure Outputs; Field 4; target Record Revisions Record ID column.</t>
  </si>
  <si>
    <t>Figure Outputs / 5 Figure Contract</t>
  </si>
  <si>
    <t>Link to one exact record in Figure Contracts.</t>
  </si>
  <si>
    <t>I-T11-F05</t>
  </si>
  <si>
    <t>R-I-T11-F05</t>
  </si>
  <si>
    <t>T11-F05</t>
  </si>
  <si>
    <t>🖼️📦 Figure Outputs; Field 5; target Figure Contracts Record ID column.</t>
  </si>
  <si>
    <t>Link to one exact record in Figure Contracts. Exact existing target Record ID; no labels or comma-separated lists.</t>
  </si>
  <si>
    <t>Open Figure Contracts in Reader using the stored target ID.</t>
  </si>
  <si>
    <t>Figure Outputs / 6 Display File</t>
  </si>
  <si>
    <t>I-T11-F06</t>
  </si>
  <si>
    <t>R-I-T11-F06</t>
  </si>
  <si>
    <t>T11-F06</t>
  </si>
  <si>
    <t>🖼️📦 Figure Outputs; Field 6; target File Revisions Record ID column.</t>
  </si>
  <si>
    <t>Figure Outputs / 7 Editable Files</t>
  </si>
  <si>
    <t>Link to one or more exact records in File Revisions.</t>
  </si>
  <si>
    <t>I-T11-F07</t>
  </si>
  <si>
    <t>R-I-T11-F07</t>
  </si>
  <si>
    <t>T11-F07</t>
  </si>
  <si>
    <t>🖼️📦 Figure Outputs; Field 7; target File Revisions Record ID column.</t>
  </si>
  <si>
    <t>Link to one or more exact records in File Revisions. JSON array of unique target Record IDs; [] means no links.</t>
  </si>
  <si>
    <t>Figure Outputs / 8 Used Fulfillments</t>
  </si>
  <si>
    <t>Link to one or more exact records in Requirement Fulfillment.</t>
  </si>
  <si>
    <t>I-T11-F08</t>
  </si>
  <si>
    <t>R-I-T11-F08</t>
  </si>
  <si>
    <t>T11-F08</t>
  </si>
  <si>
    <t>🖼️📦 Figure Outputs; Field 8; target Requirement Fulfillment Record ID column.</t>
  </si>
  <si>
    <t>Link to one or more exact records in Requirement Fulfillment. JSON array of unique target Record IDs; [] means no links.</t>
  </si>
  <si>
    <t>Open Requirement Fulfillment in Reader using the stored target ID.</t>
  </si>
  <si>
    <t>Figure Outputs / 9 Caption</t>
  </si>
  <si>
    <t>Caption for Figure Outputs: One implementation of a Figure Contract.</t>
  </si>
  <si>
    <t>I-T11-F09</t>
  </si>
  <si>
    <t>R-I-T11-F09</t>
  </si>
  <si>
    <t>T11-F09</t>
  </si>
  <si>
    <t>🖼️📦 Figure Outputs; Field 9; owning artifact and its source requirements.</t>
  </si>
  <si>
    <t>Caption for Figure Outputs: One implementation of a Figure Contract. Enter a literal value; preserve distinction between blank and zero.</t>
  </si>
  <si>
    <t>Enter project-specific caption.</t>
  </si>
  <si>
    <t>Figure Outputs / 10 Alternative Text</t>
  </si>
  <si>
    <t>Alternative Text for Figure Outputs: One implementation of a Figure Contract.</t>
  </si>
  <si>
    <t>I-T11-F10</t>
  </si>
  <si>
    <t>R-I-T11-F10</t>
  </si>
  <si>
    <t>T11-F10</t>
  </si>
  <si>
    <t>🖼️📦 Figure Outputs; Field 10; owning artifact and its source requirements.</t>
  </si>
  <si>
    <t>Alternative Text for Figure Outputs: One implementation of a Figure Contract. Enter a literal value; preserve distinction between blank and zero.</t>
  </si>
  <si>
    <t>Enter project-specific alternative text.</t>
  </si>
  <si>
    <t>Figure Outputs / 11 Implementation Notes</t>
  </si>
  <si>
    <t>Implementation Notes for Figure Outputs: One implementation of a Figure Contract.</t>
  </si>
  <si>
    <t>I-T11-F11</t>
  </si>
  <si>
    <t>R-I-T11-F11</t>
  </si>
  <si>
    <t>T11-F11</t>
  </si>
  <si>
    <t>🖼️📦 Figure Outputs; Field 11; owning artifact and its source requirements.</t>
  </si>
  <si>
    <t>Implementation Notes for Figure Outputs: One implementation of a Figure Contract. Enter a literal value; preserve distinction between blank and zero.</t>
  </si>
  <si>
    <t>Enter project-specific implementation notes.</t>
  </si>
  <si>
    <t>Document Placements use</t>
  </si>
  <si>
    <t>One placement within an exact document candidate.</t>
  </si>
  <si>
    <t>I-T12</t>
  </si>
  <si>
    <t>R-I-T12</t>
  </si>
  <si>
    <t>T12</t>
  </si>
  <si>
    <t>Record Revisions; File Revisions; Content Items; Figure Outputs; Document Plans; Template Slots</t>
  </si>
  <si>
    <t>Document Placements / 1 Name</t>
  </si>
  <si>
    <t>I-T12-F01</t>
  </si>
  <si>
    <t>R-I-T12-F01</t>
  </si>
  <si>
    <t>T12-F01</t>
  </si>
  <si>
    <t>📄📐 Document Placements; Field 1; owning artifact and its source requirements.</t>
  </si>
  <si>
    <t>Document Placements / 2 Description</t>
  </si>
  <si>
    <t>I-T12-F02</t>
  </si>
  <si>
    <t>R-I-T12-F02</t>
  </si>
  <si>
    <t>T12-F02</t>
  </si>
  <si>
    <t>📄📐 Document Placements; Field 2; owning artifact and its source requirements.</t>
  </si>
  <si>
    <t>Document Placements / 3 Record ID</t>
  </si>
  <si>
    <t>I-T12-F03</t>
  </si>
  <si>
    <t>R-I-T12-F03</t>
  </si>
  <si>
    <t>T12-F03</t>
  </si>
  <si>
    <t>📄📐 Document Placements; Field 3; owning artifact and its source requirements.</t>
  </si>
  <si>
    <t>Document Placements / 4 Revision</t>
  </si>
  <si>
    <t>I-T12-F04</t>
  </si>
  <si>
    <t>R-I-T12-F04</t>
  </si>
  <si>
    <t>T12-F04</t>
  </si>
  <si>
    <t>📄📐 Document Placements; Field 4; target Record Revisions Record ID column.</t>
  </si>
  <si>
    <t>Document Placements / 5 Document Revision</t>
  </si>
  <si>
    <t>I-T12-F05</t>
  </si>
  <si>
    <t>R-I-T12-F05</t>
  </si>
  <si>
    <t>T12-F05</t>
  </si>
  <si>
    <t>📄📐 Document Placements; Field 5; target File Revisions Record ID column.</t>
  </si>
  <si>
    <t>Document Placements / 6 Position</t>
  </si>
  <si>
    <t>Unique positive reading-order number within the document revision.</t>
  </si>
  <si>
    <t>I-T12-F06</t>
  </si>
  <si>
    <t>R-I-T12-F06</t>
  </si>
  <si>
    <t>T12-F06</t>
  </si>
  <si>
    <t>📄📐 Document Placements; Field 6; owning artifact and its source requirements.</t>
  </si>
  <si>
    <t>Unique positive reading-order number within the document revision. Integer value; order and revision fields positive; quantity and link minima may be zero.</t>
  </si>
  <si>
    <t>Document Placements / 7 Placement Kind</t>
  </si>
  <si>
    <t>Placement Kind for Document Placements: One placement within an exact document candidate.</t>
  </si>
  <si>
    <t>I-T12-F07</t>
  </si>
  <si>
    <t>R-I-T12-F07</t>
  </si>
  <si>
    <t>T12-F07</t>
  </si>
  <si>
    <t>📄📐 Document Placements; Field 7; owning artifact and its source requirements.</t>
  </si>
  <si>
    <t>Placement Kind for Document Placements: One placement within an exact document candidate. Use exactly one listed allowed value.</t>
  </si>
  <si>
    <t>CONTENT</t>
  </si>
  <si>
    <t>Document Placements / 8 Content Item</t>
  </si>
  <si>
    <t>I-T12-F08</t>
  </si>
  <si>
    <t>R-I-T12-F08</t>
  </si>
  <si>
    <t>T12-F08</t>
  </si>
  <si>
    <t>📄📐 Document Placements; Field 8; target Content Items Record ID column.</t>
  </si>
  <si>
    <t>Required only when Placement Kind = CONTENT.</t>
  </si>
  <si>
    <t>Document Placements / 9 Figure Output</t>
  </si>
  <si>
    <t>Link to one exact record in Figure Outputs.</t>
  </si>
  <si>
    <t>I-T12-F09</t>
  </si>
  <si>
    <t>R-I-T12-F09</t>
  </si>
  <si>
    <t>T12-F09</t>
  </si>
  <si>
    <t>📄📐 Document Placements; Field 9; target Figure Outputs Record ID column.</t>
  </si>
  <si>
    <t>Required only when Placement Kind = FIGURE.</t>
  </si>
  <si>
    <t>Link to one exact record in Figure Outputs. Exact existing target Record ID; no labels or comma-separated lists.</t>
  </si>
  <si>
    <t>Open Figure Outputs in Reader using the stored target ID.</t>
  </si>
  <si>
    <t>Document Placements / 10 Section Anchor</t>
  </si>
  <si>
    <t>Section Anchor for Document Placements: One placement within an exact document candidate.</t>
  </si>
  <si>
    <t>I-T12-F10</t>
  </si>
  <si>
    <t>R-I-T12-F10</t>
  </si>
  <si>
    <t>T12-F10</t>
  </si>
  <si>
    <t>📄📐 Document Placements; Field 10; owning artifact and its source requirements.</t>
  </si>
  <si>
    <t>Section Anchor for Document Placements: One placement within an exact document candidate. Enter a literal value; preserve distinction between blank and zero.</t>
  </si>
  <si>
    <t>Enter project-specific section anchor.</t>
  </si>
  <si>
    <t>Document Placements / 11 Layout Instructions</t>
  </si>
  <si>
    <t>Layout Instructions for Document Placements: One placement within an exact document candidate.</t>
  </si>
  <si>
    <t>I-T12-F11</t>
  </si>
  <si>
    <t>R-I-T12-F11</t>
  </si>
  <si>
    <t>T12-F11</t>
  </si>
  <si>
    <t>📄📐 Document Placements; Field 11; owning artifact and its source requirements.</t>
  </si>
  <si>
    <t>Layout Instructions for Document Placements: One placement within an exact document candidate. Enter a literal value; preserve distinction between blank and zero.</t>
  </si>
  <si>
    <t>Enter project-specific layout instructions.</t>
  </si>
  <si>
    <t>Document Placements / 12 Rendered Locator</t>
  </si>
  <si>
    <t>Rendered Locator for Document Placements: One placement within an exact document candidate.</t>
  </si>
  <si>
    <t>I-T12-F12</t>
  </si>
  <si>
    <t>R-I-T12-F12</t>
  </si>
  <si>
    <t>T12-F12</t>
  </si>
  <si>
    <t>📄📐 Document Placements; Field 12; owning artifact and its source requirements.</t>
  </si>
  <si>
    <t>Rendered Locator for Document Placements: One placement within an exact document candidate. Enter a literal value; preserve distinction between blank and zero.</t>
  </si>
  <si>
    <t>Enter project-specific rendered locator.</t>
  </si>
  <si>
    <t>Document Placements / 13 Document Plan</t>
  </si>
  <si>
    <t>Plan owning reading order. Required for new sandbox placements; historical placements may retain only Document Revision.</t>
  </si>
  <si>
    <t>I-T12-F13</t>
  </si>
  <si>
    <t>R-I-T12-F13</t>
  </si>
  <si>
    <t>T12-F13</t>
  </si>
  <si>
    <t>📄📐 Document Placements; Field 13; target Document Plans Record ID column.</t>
  </si>
  <si>
    <t>Plan owning reading order. Required for new sandbox placements; historical placements may retain only Document Revision. Exact existing target Record ID; no labels or comma-separated lists.</t>
  </si>
  <si>
    <t>Open Document Plans in Reader using the stored target ID.</t>
  </si>
  <si>
    <t>Document Placements / 14 Spine Type</t>
  </si>
  <si>
    <t>HEADER emits the linked content as a heading and section opening; CONTINUANCE emits content without a new heading; FIGURE emits its linked Figure Output and caption.</t>
  </si>
  <si>
    <t>I-T12-F14</t>
  </si>
  <si>
    <t>R-I-T12-F14</t>
  </si>
  <si>
    <t>T12-F14</t>
  </si>
  <si>
    <t>📄📐 Document Placements; Field 14; owning artifact and its source requirements.</t>
  </si>
  <si>
    <t>HEADER emits the linked content as a heading and section opening; CONTINUANCE emits content without a new heading; FIGURE emits its linked Figure Output and caption. Use exactly one listed allowed value.</t>
  </si>
  <si>
    <t>HEADER</t>
  </si>
  <si>
    <t>Document Placements / 15 Template Slot</t>
  </si>
  <si>
    <t>Link to one exact record in Template Slots.</t>
  </si>
  <si>
    <t>I-T12-F15</t>
  </si>
  <si>
    <t>R-I-T12-F15</t>
  </si>
  <si>
    <t>T12-F15</t>
  </si>
  <si>
    <t>📄📐 Document Placements; Field 15; target Template Slots Record ID column.</t>
  </si>
  <si>
    <t>Link to one exact record in Template Slots. Exact existing target Record ID; no labels or comma-separated lists.</t>
  </si>
  <si>
    <t>Open Template Slots in Reader using the stored target ID.</t>
  </si>
  <si>
    <t>Dependencies use</t>
  </si>
  <si>
    <t>One directed dependency between revisions.</t>
  </si>
  <si>
    <t>I-T13</t>
  </si>
  <si>
    <t>R-I-T13</t>
  </si>
  <si>
    <t>T13</t>
  </si>
  <si>
    <t>Record Revisions; Record Revisions; Record Revisions; Checks</t>
  </si>
  <si>
    <t>Dependencies / 1 Name</t>
  </si>
  <si>
    <t>I-T13-F01</t>
  </si>
  <si>
    <t>R-I-T13-F01</t>
  </si>
  <si>
    <t>T13-F01</t>
  </si>
  <si>
    <t>🔗🧭 Dependencies; Field 1; owning artifact and its source requirements.</t>
  </si>
  <si>
    <t>Dependencies / 2 Description</t>
  </si>
  <si>
    <t>I-T13-F02</t>
  </si>
  <si>
    <t>R-I-T13-F02</t>
  </si>
  <si>
    <t>T13-F02</t>
  </si>
  <si>
    <t>🔗🧭 Dependencies; Field 2; owning artifact and its source requirements.</t>
  </si>
  <si>
    <t>Dependencies / 3 Record ID</t>
  </si>
  <si>
    <t>I-T13-F03</t>
  </si>
  <si>
    <t>R-I-T13-F03</t>
  </si>
  <si>
    <t>T13-F03</t>
  </si>
  <si>
    <t>🔗🧭 Dependencies; Field 3; owning artifact and its source requirements.</t>
  </si>
  <si>
    <t>Dependencies / 4 Upstream Revision</t>
  </si>
  <si>
    <t>I-T13-F04</t>
  </si>
  <si>
    <t>R-I-T13-F04</t>
  </si>
  <si>
    <t>T13-F04</t>
  </si>
  <si>
    <t>🔗🧭 Dependencies; Field 4; target Record Revisions Record ID column.</t>
  </si>
  <si>
    <t>Dependencies / 5 Downstream Revision</t>
  </si>
  <si>
    <t>I-T13-F05</t>
  </si>
  <si>
    <t>R-I-T13-F05</t>
  </si>
  <si>
    <t>T13-F05</t>
  </si>
  <si>
    <t>🔗🧭 Dependencies; Field 5; target Record Revisions Record ID column.</t>
  </si>
  <si>
    <t>Dependencies / 6 Relationship</t>
  </si>
  <si>
    <t>Relationship for Dependencies: One directed dependency between revisions.</t>
  </si>
  <si>
    <t>I-T13-F06</t>
  </si>
  <si>
    <t>R-I-T13-F06</t>
  </si>
  <si>
    <t>T13-F06</t>
  </si>
  <si>
    <t>🔗🧭 Dependencies; Field 6; owning artifact and its source requirements.</t>
  </si>
  <si>
    <t>Relationship for Dependencies: One directed dependency between revisions. Use exactly one listed allowed value.</t>
  </si>
  <si>
    <t>GOVERNED BY</t>
  </si>
  <si>
    <t>Dependencies / 7 Dependency Scope</t>
  </si>
  <si>
    <t>Exact upstream statements, fields, or properties consumed downstream.</t>
  </si>
  <si>
    <t>I-T13-F07</t>
  </si>
  <si>
    <t>R-I-T13-F07</t>
  </si>
  <si>
    <t>T13-F07</t>
  </si>
  <si>
    <t>🔗🧭 Dependencies; Field 7; owning artifact and its source requirements.</t>
  </si>
  <si>
    <t>Exact upstream statements, fields, or properties consumed downstream. Enter a literal value; preserve distinction between blank and zero.</t>
  </si>
  <si>
    <t>Enter project-specific dependency scope.</t>
  </si>
  <si>
    <t>Dependencies / 8 Recheck Rule</t>
  </si>
  <si>
    <t>Changes that require reassessment of this dependency.</t>
  </si>
  <si>
    <t>I-T13-F08</t>
  </si>
  <si>
    <t>R-I-T13-F08</t>
  </si>
  <si>
    <t>T13-F08</t>
  </si>
  <si>
    <t>🔗🧭 Dependencies; Field 8; owning artifact and its source requirements.</t>
  </si>
  <si>
    <t>Changes that require reassessment of this dependency. Enter a literal value; preserve distinction between blank and zero.</t>
  </si>
  <si>
    <t>Enter project-specific recheck rule.</t>
  </si>
  <si>
    <t>Dependencies / 9 Dependency Condition</t>
  </si>
  <si>
    <t>Dependency Condition for Dependencies: One directed dependency between revisions.</t>
  </si>
  <si>
    <t>I-T13-F09</t>
  </si>
  <si>
    <t>R-I-T13-F09</t>
  </si>
  <si>
    <t>T13-F09</t>
  </si>
  <si>
    <t>🔗🧭 Dependencies; Field 9; owning artifact and its source requirements.</t>
  </si>
  <si>
    <t>Dependency Condition for Dependencies: One directed dependency between revisions. Use exactly one listed allowed value.</t>
  </si>
  <si>
    <t>CURRENT</t>
  </si>
  <si>
    <t>Dependencies / 10 Trigger Revision</t>
  </si>
  <si>
    <t>I-T13-F10</t>
  </si>
  <si>
    <t>R-I-T13-F10</t>
  </si>
  <si>
    <t>T13-F10</t>
  </si>
  <si>
    <t>🔗🧭 Dependencies; Field 10; target Record Revisions Record ID column.</t>
  </si>
  <si>
    <t>Dependencies / 11 Recheck</t>
  </si>
  <si>
    <t>Link to one exact record in Checks.</t>
  </si>
  <si>
    <t>I-T13-F11</t>
  </si>
  <si>
    <t>R-I-T13-F11</t>
  </si>
  <si>
    <t>T13-F11</t>
  </si>
  <si>
    <t>🔗🧭 Dependencies; Field 11; target Checks Record ID column.</t>
  </si>
  <si>
    <t>Link to one exact record in Checks. Exact existing target Record ID; no labels or comma-separated lists.</t>
  </si>
  <si>
    <t>Open Checks in Reader using the stored target ID.</t>
  </si>
  <si>
    <t>Checks use</t>
  </si>
  <si>
    <t>One execution of a check procedure.</t>
  </si>
  <si>
    <t>I-T14</t>
  </si>
  <si>
    <t>R-I-T14</t>
  </si>
  <si>
    <t>T14</t>
  </si>
  <si>
    <t>Record Revisions; Instructions; Pass Runs; File Revisions; Checks</t>
  </si>
  <si>
    <t>Checks / 1 Name</t>
  </si>
  <si>
    <t>I-T14-F01</t>
  </si>
  <si>
    <t>R-I-T14-F01</t>
  </si>
  <si>
    <t>T14-F01</t>
  </si>
  <si>
    <t>🔍✅ Checks; Field 1; owning artifact and its source requirements.</t>
  </si>
  <si>
    <t>Checks / 2 Description</t>
  </si>
  <si>
    <t>I-T14-F02</t>
  </si>
  <si>
    <t>R-I-T14-F02</t>
  </si>
  <si>
    <t>T14-F02</t>
  </si>
  <si>
    <t>🔍✅ Checks; Field 2; owning artifact and its source requirements.</t>
  </si>
  <si>
    <t>Checks / 3 Record ID</t>
  </si>
  <si>
    <t>I-T14-F03</t>
  </si>
  <si>
    <t>R-I-T14-F03</t>
  </si>
  <si>
    <t>T14-F03</t>
  </si>
  <si>
    <t>🔍✅ Checks; Field 3; owning artifact and its source requirements.</t>
  </si>
  <si>
    <t>Checks / 4 Target Revision</t>
  </si>
  <si>
    <t>I-T14-F04</t>
  </si>
  <si>
    <t>R-I-T14-F04</t>
  </si>
  <si>
    <t>T14-F04</t>
  </si>
  <si>
    <t>🔍✅ Checks; Field 4; target Record Revisions Record ID column.</t>
  </si>
  <si>
    <t>Checks / 5 Check Instruction</t>
  </si>
  <si>
    <t>Link to one exact record in Instructions.</t>
  </si>
  <si>
    <t>I-T14-F05</t>
  </si>
  <si>
    <t>R-I-T14-F05</t>
  </si>
  <si>
    <t>T14-F05</t>
  </si>
  <si>
    <t>🔍✅ Checks; Field 5; target Instructions Record ID column.</t>
  </si>
  <si>
    <t>Link to one exact record in Instructions. Exact existing target Record ID; no labels or comma-separated lists.</t>
  </si>
  <si>
    <t>Checks / 6 Executing Run</t>
  </si>
  <si>
    <t>I-T14-F06</t>
  </si>
  <si>
    <t>R-I-T14-F06</t>
  </si>
  <si>
    <t>T14-F06</t>
  </si>
  <si>
    <t>🔍✅ Checks; Field 6; target Pass Runs Record ID column.</t>
  </si>
  <si>
    <t>Checks / 7 Check Kind</t>
  </si>
  <si>
    <t>Check Kind for Checks: One execution of a check procedure.</t>
  </si>
  <si>
    <t>I-T14-F07</t>
  </si>
  <si>
    <t>R-I-T14-F07</t>
  </si>
  <si>
    <t>T14-F07</t>
  </si>
  <si>
    <t>🔍✅ Checks; Field 7; owning artifact and its source requirements.</t>
  </si>
  <si>
    <t>Check Kind for Checks: One execution of a check procedure. Use exactly one listed allowed value.</t>
  </si>
  <si>
    <t>STRUCTURAL</t>
  </si>
  <si>
    <t>Checks / 8 Result</t>
  </si>
  <si>
    <t>Result for Checks: One execution of a check procedure.</t>
  </si>
  <si>
    <t>I-T14-F08</t>
  </si>
  <si>
    <t>R-I-T14-F08</t>
  </si>
  <si>
    <t>T14-F08</t>
  </si>
  <si>
    <t>🔍✅ Checks; Field 8; owning artifact and its source requirements.</t>
  </si>
  <si>
    <t>Result for Checks: One execution of a check procedure. Use exactly one listed allowed value.</t>
  </si>
  <si>
    <t>NOT RUN</t>
  </si>
  <si>
    <t>Checks / 9 Expected Result</t>
  </si>
  <si>
    <t>Expected Result for Checks: One execution of a check procedure.</t>
  </si>
  <si>
    <t>I-T14-F09</t>
  </si>
  <si>
    <t>R-I-T14-F09</t>
  </si>
  <si>
    <t>T14-F09</t>
  </si>
  <si>
    <t>🔍✅ Checks; Field 9; owning artifact and its source requirements.</t>
  </si>
  <si>
    <t>Expected Result for Checks: One execution of a check procedure. Enter a literal value; preserve distinction between blank and zero.</t>
  </si>
  <si>
    <t>Enter project-specific expected result.</t>
  </si>
  <si>
    <t>Checks / 10 Observed Result</t>
  </si>
  <si>
    <t>Observed Result for Checks: One execution of a check procedure.</t>
  </si>
  <si>
    <t>I-T14-F10</t>
  </si>
  <si>
    <t>R-I-T14-F10</t>
  </si>
  <si>
    <t>T14-F10</t>
  </si>
  <si>
    <t>🔍✅ Checks; Field 10; owning artifact and its source requirements.</t>
  </si>
  <si>
    <t>Observed Result for Checks: One execution of a check procedure. Enter a literal value; preserve distinction between blank and zero.</t>
  </si>
  <si>
    <t>Enter project-specific observed result.</t>
  </si>
  <si>
    <t>Checks / 11 Evidence Files</t>
  </si>
  <si>
    <t>I-T14-F11</t>
  </si>
  <si>
    <t>R-I-T14-F11</t>
  </si>
  <si>
    <t>T14-F11</t>
  </si>
  <si>
    <t>🔍✅ Checks; Field 11; target File Revisions Record ID column.</t>
  </si>
  <si>
    <t>Checks / 12 Evaluator</t>
  </si>
  <si>
    <t>Evaluator for Checks: One execution of a check procedure.</t>
  </si>
  <si>
    <t>I-T14-F12</t>
  </si>
  <si>
    <t>R-I-T14-F12</t>
  </si>
  <si>
    <t>T14-F12</t>
  </si>
  <si>
    <t>🔍✅ Checks; Field 12; owning artifact and its source requirements.</t>
  </si>
  <si>
    <t>Evaluator for Checks: One execution of a check procedure. Enter a literal value; preserve distinction between blank and zero.</t>
  </si>
  <si>
    <t>Enter project-specific evaluator.</t>
  </si>
  <si>
    <t>Checks / 13 Previous Check</t>
  </si>
  <si>
    <t>I-T14-F13</t>
  </si>
  <si>
    <t>R-I-T14-F13</t>
  </si>
  <si>
    <t>T14-F13</t>
  </si>
  <si>
    <t>🔍✅ Checks; Field 13; target Checks Record ID column.</t>
  </si>
  <si>
    <t>Issues use</t>
  </si>
  <si>
    <t>One defect, decision, or change request.</t>
  </si>
  <si>
    <t>I-T15</t>
  </si>
  <si>
    <t>R-I-T15</t>
  </si>
  <si>
    <t>T15</t>
  </si>
  <si>
    <t>Projects; Checks; Record Revisions; Pass Definitions; Pass Runs; Checks</t>
  </si>
  <si>
    <t>Issues / 1 Name</t>
  </si>
  <si>
    <t>I-T15-F01</t>
  </si>
  <si>
    <t>R-I-T15-F01</t>
  </si>
  <si>
    <t>T15-F01</t>
  </si>
  <si>
    <t>🔧⚠️ Issues; Field 1; owning artifact and its source requirements.</t>
  </si>
  <si>
    <t>Issues / 2 Description</t>
  </si>
  <si>
    <t>I-T15-F02</t>
  </si>
  <si>
    <t>R-I-T15-F02</t>
  </si>
  <si>
    <t>T15-F02</t>
  </si>
  <si>
    <t>🔧⚠️ Issues; Field 2; owning artifact and its source requirements.</t>
  </si>
  <si>
    <t>Issues / 3 Record ID</t>
  </si>
  <si>
    <t>I-T15-F03</t>
  </si>
  <si>
    <t>R-I-T15-F03</t>
  </si>
  <si>
    <t>T15-F03</t>
  </si>
  <si>
    <t>🔧⚠️ Issues; Field 3; owning artifact and its source requirements.</t>
  </si>
  <si>
    <t>Issues / 4 Project</t>
  </si>
  <si>
    <t>I-T15-F04</t>
  </si>
  <si>
    <t>R-I-T15-F04</t>
  </si>
  <si>
    <t>T15-F04</t>
  </si>
  <si>
    <t>🔧⚠️ Issues; Field 4; target Projects Record ID column.</t>
  </si>
  <si>
    <t>Issues / 5 Origin Check</t>
  </si>
  <si>
    <t>I-T15-F05</t>
  </si>
  <si>
    <t>R-I-T15-F05</t>
  </si>
  <si>
    <t>T15-F05</t>
  </si>
  <si>
    <t>🔧⚠️ Issues; Field 5; target Checks Record ID column.</t>
  </si>
  <si>
    <t>Issues / 6 Affected Revisions</t>
  </si>
  <si>
    <t>Link to one or more exact records in Record Revisions.</t>
  </si>
  <si>
    <t>I-T15-F06</t>
  </si>
  <si>
    <t>R-I-T15-F06</t>
  </si>
  <si>
    <t>T15-F06</t>
  </si>
  <si>
    <t>🔧⚠️ Issues; Field 6; target Record Revisions Record ID column.</t>
  </si>
  <si>
    <t>Link to one or more exact records in Record Revisions. JSON array of unique target Record IDs; [] means no links.</t>
  </si>
  <si>
    <t>Issues / 7 Owning Pass</t>
  </si>
  <si>
    <t>I-T15-F07</t>
  </si>
  <si>
    <t>R-I-T15-F07</t>
  </si>
  <si>
    <t>T15-F07</t>
  </si>
  <si>
    <t>🔧⚠️ Issues; Field 7; target Pass Definitions Record ID column.</t>
  </si>
  <si>
    <t>Issues / 8 Issue Kind</t>
  </si>
  <si>
    <t>Issue Kind for Issues: One defect, decision, or change request.</t>
  </si>
  <si>
    <t>I-T15-F08</t>
  </si>
  <si>
    <t>R-I-T15-F08</t>
  </si>
  <si>
    <t>T15-F08</t>
  </si>
  <si>
    <t>🔧⚠️ Issues; Field 8; owning artifact and its source requirements.</t>
  </si>
  <si>
    <t>Issue Kind for Issues: One defect, decision, or change request. Use exactly one listed allowed value.</t>
  </si>
  <si>
    <t>DEFECT</t>
  </si>
  <si>
    <t>Issues / 9 Severity</t>
  </si>
  <si>
    <t>Severity for Issues: One defect, decision, or change request.</t>
  </si>
  <si>
    <t>I-T15-F09</t>
  </si>
  <si>
    <t>R-I-T15-F09</t>
  </si>
  <si>
    <t>T15-F09</t>
  </si>
  <si>
    <t>🔧⚠️ Issues; Field 9; owning artifact and its source requirements.</t>
  </si>
  <si>
    <t>Severity for Issues: One defect, decision, or change request. Use exactly one listed allowed value.</t>
  </si>
  <si>
    <t>BLOCKING</t>
  </si>
  <si>
    <t>Issues / 10 Issue State</t>
  </si>
  <si>
    <t>Issue State for Issues: One defect, decision, or change request.</t>
  </si>
  <si>
    <t>I-T15-F10</t>
  </si>
  <si>
    <t>R-I-T15-F10</t>
  </si>
  <si>
    <t>T15-F10</t>
  </si>
  <si>
    <t>🔧⚠️ Issues; Field 10; owning artifact and its source requirements.</t>
  </si>
  <si>
    <t>Issue State for Issues: One defect, decision, or change request. Use exactly one listed allowed value.</t>
  </si>
  <si>
    <t>OPEN</t>
  </si>
  <si>
    <t>Issues / 11 Repair Run</t>
  </si>
  <si>
    <t>I-T15-F11</t>
  </si>
  <si>
    <t>R-I-T15-F11</t>
  </si>
  <si>
    <t>T15-F11</t>
  </si>
  <si>
    <t>🔧⚠️ Issues; Field 11; target Pass Runs Record ID column.</t>
  </si>
  <si>
    <t>Issues / 12 Resolution</t>
  </si>
  <si>
    <t>Resolution for Issues: One defect, decision, or change request.</t>
  </si>
  <si>
    <t>I-T15-F12</t>
  </si>
  <si>
    <t>R-I-T15-F12</t>
  </si>
  <si>
    <t>T15-F12</t>
  </si>
  <si>
    <t>🔧⚠️ Issues; Field 12; owning artifact and its source requirements.</t>
  </si>
  <si>
    <t>Resolution for Issues: One defect, decision, or change request. Enter a literal value; preserve distinction between blank and zero.</t>
  </si>
  <si>
    <t>Enter project-specific resolution.</t>
  </si>
  <si>
    <t>Issues / 13 Rechecks</t>
  </si>
  <si>
    <t>Link to one or more exact records in Checks.</t>
  </si>
  <si>
    <t>I-T15-F13</t>
  </si>
  <si>
    <t>R-I-T15-F13</t>
  </si>
  <si>
    <t>T15-F13</t>
  </si>
  <si>
    <t>🔧⚠️ Issues; Field 13; target Checks Record ID column.</t>
  </si>
  <si>
    <t>Link to one or more exact records in Checks. JSON array of unique target Record IDs; [] means no links.</t>
  </si>
  <si>
    <t>Approvals use</t>
  </si>
  <si>
    <t>One human decision on an exact revision.</t>
  </si>
  <si>
    <t>I-T16</t>
  </si>
  <si>
    <t>R-I-T16</t>
  </si>
  <si>
    <t>T16</t>
  </si>
  <si>
    <t>Record Revisions; Pass Runs; Checks; Issues; Approvals</t>
  </si>
  <si>
    <t>Approvals / 1 Name</t>
  </si>
  <si>
    <t>I-T16-F01</t>
  </si>
  <si>
    <t>R-I-T16-F01</t>
  </si>
  <si>
    <t>T16-F01</t>
  </si>
  <si>
    <t>👤✅ Approvals; Field 1; owning artifact and its source requirements.</t>
  </si>
  <si>
    <t>Approvals / 2 Description</t>
  </si>
  <si>
    <t>I-T16-F02</t>
  </si>
  <si>
    <t>R-I-T16-F02</t>
  </si>
  <si>
    <t>T16-F02</t>
  </si>
  <si>
    <t>👤✅ Approvals; Field 2; owning artifact and its source requirements.</t>
  </si>
  <si>
    <t>Approvals / 3 Record ID</t>
  </si>
  <si>
    <t>I-T16-F03</t>
  </si>
  <si>
    <t>R-I-T16-F03</t>
  </si>
  <si>
    <t>T16-F03</t>
  </si>
  <si>
    <t>👤✅ Approvals; Field 3; owning artifact and its source requirements.</t>
  </si>
  <si>
    <t>Approvals / 4 Target Revision</t>
  </si>
  <si>
    <t>I-T16-F04</t>
  </si>
  <si>
    <t>R-I-T16-F04</t>
  </si>
  <si>
    <t>T16-F04</t>
  </si>
  <si>
    <t>👤✅ Approvals; Field 4; target Record Revisions Record ID column.</t>
  </si>
  <si>
    <t>Approvals / 5 Review Run</t>
  </si>
  <si>
    <t>I-T16-F05</t>
  </si>
  <si>
    <t>R-I-T16-F05</t>
  </si>
  <si>
    <t>T16-F05</t>
  </si>
  <si>
    <t>👤✅ Approvals; Field 5; target Pass Runs Record ID column.</t>
  </si>
  <si>
    <t>Approvals / 6 Decision</t>
  </si>
  <si>
    <t>Decision for Approvals: One human decision on an exact revision.</t>
  </si>
  <si>
    <t>I-T16-F06</t>
  </si>
  <si>
    <t>R-I-T16-F06</t>
  </si>
  <si>
    <t>T16-F06</t>
  </si>
  <si>
    <t>👤✅ Approvals; Field 6; owning artifact and its source requirements.</t>
  </si>
  <si>
    <t>Decision for Approvals: One human decision on an exact revision. Use exactly one listed allowed value.</t>
  </si>
  <si>
    <t>APPROVE</t>
  </si>
  <si>
    <t>Approvals / 7 Decision Maker</t>
  </si>
  <si>
    <t>Decision Maker for Approvals: One human decision on an exact revision.</t>
  </si>
  <si>
    <t>I-T16-F07</t>
  </si>
  <si>
    <t>R-I-T16-F07</t>
  </si>
  <si>
    <t>T16-F07</t>
  </si>
  <si>
    <t>👤✅ Approvals; Field 7; owning artifact and its source requirements.</t>
  </si>
  <si>
    <t>Decision Maker for Approvals: One human decision on an exact revision. Enter a literal value; preserve distinction between blank and zero.</t>
  </si>
  <si>
    <t>Enter project-specific decision maker.</t>
  </si>
  <si>
    <t>Approvals / 8 Decision Evidence</t>
  </si>
  <si>
    <t>Exact human statement and its source locator; never generate approval evidence.</t>
  </si>
  <si>
    <t>I-T16-F08</t>
  </si>
  <si>
    <t>R-I-T16-F08</t>
  </si>
  <si>
    <t>T16-F08</t>
  </si>
  <si>
    <t>👤✅ Approvals; Field 8; owning artifact and its source requirements.</t>
  </si>
  <si>
    <t>Exact human statement and its source locator; never generate approval evidence. Enter a literal value; preserve distinction between blank and zero.</t>
  </si>
  <si>
    <t>Enter project-specific decision evidence.</t>
  </si>
  <si>
    <t>Approvals / 9 Reviewed Checks</t>
  </si>
  <si>
    <t>I-T16-F09</t>
  </si>
  <si>
    <t>R-I-T16-F09</t>
  </si>
  <si>
    <t>T16-F09</t>
  </si>
  <si>
    <t>👤✅ Approvals; Field 9; target Checks Record ID column.</t>
  </si>
  <si>
    <t>Approvals / 10 Related Issues</t>
  </si>
  <si>
    <t>Link to one or more exact records in Issues.</t>
  </si>
  <si>
    <t>I-T16-F10</t>
  </si>
  <si>
    <t>R-I-T16-F10</t>
  </si>
  <si>
    <t>T16-F10</t>
  </si>
  <si>
    <t>👤✅ Approvals; Field 10; target Issues Record ID column.</t>
  </si>
  <si>
    <t>Link to one or more exact records in Issues. JSON array of unique target Record IDs; [] means no links.</t>
  </si>
  <si>
    <t>Open Issues in Reader using the stored target ID.</t>
  </si>
  <si>
    <t>Approvals / 11 Supersedes Decision</t>
  </si>
  <si>
    <t>Link to one exact record in Approvals.</t>
  </si>
  <si>
    <t>I-T16-F11</t>
  </si>
  <si>
    <t>R-I-T16-F11</t>
  </si>
  <si>
    <t>T16-F11</t>
  </si>
  <si>
    <t>👤✅ Approvals; Field 11; target Approvals Record ID column.</t>
  </si>
  <si>
    <t>Link to one exact record in Approvals. Exact existing target Record ID; no labels or comma-separated lists.</t>
  </si>
  <si>
    <t>Open Approvals in Reader using the stored target ID.</t>
  </si>
  <si>
    <t>Approvals / 12 Evidence Origin</t>
  </si>
  <si>
    <t>Evidence Origin for Approvals: One human decision on an exact revision.</t>
  </si>
  <si>
    <t>I-T16-F12</t>
  </si>
  <si>
    <t>R-I-T16-F12</t>
  </si>
  <si>
    <t>T16-F12</t>
  </si>
  <si>
    <t>👤✅ Approvals; Field 12; owning artifact and its source requirements.</t>
  </si>
  <si>
    <t>Evidence Origin for Approvals: One human decision on an exact revision. Use exactly one listed allowed value.</t>
  </si>
  <si>
    <t>Releases use</t>
  </si>
  <si>
    <t>One versioned delivery manifest.</t>
  </si>
  <si>
    <t>I-T17</t>
  </si>
  <si>
    <t>R-I-T17</t>
  </si>
  <si>
    <t>T17</t>
  </si>
  <si>
    <t>Record Revisions; File Revisions; Record Revisions; File Revisions; Checks; Issues</t>
  </si>
  <si>
    <t>Releases / 1 Name</t>
  </si>
  <si>
    <t>I-T17-F01</t>
  </si>
  <si>
    <t>R-I-T17-F01</t>
  </si>
  <si>
    <t>T17-F01</t>
  </si>
  <si>
    <t>📦🏁 Releases; Field 1; owning artifact and its source requirements.</t>
  </si>
  <si>
    <t>Releases / 2 Description</t>
  </si>
  <si>
    <t>I-T17-F02</t>
  </si>
  <si>
    <t>R-I-T17-F02</t>
  </si>
  <si>
    <t>T17-F02</t>
  </si>
  <si>
    <t>📦🏁 Releases; Field 2; owning artifact and its source requirements.</t>
  </si>
  <si>
    <t>Releases / 3 Record ID</t>
  </si>
  <si>
    <t>I-T17-F03</t>
  </si>
  <si>
    <t>R-I-T17-F03</t>
  </si>
  <si>
    <t>T17-F03</t>
  </si>
  <si>
    <t>📦🏁 Releases; Field 3; owning artifact and its source requirements.</t>
  </si>
  <si>
    <t>Releases / 4 Revision</t>
  </si>
  <si>
    <t>I-T17-F04</t>
  </si>
  <si>
    <t>R-I-T17-F04</t>
  </si>
  <si>
    <t>T17-F04</t>
  </si>
  <si>
    <t>📦🏁 Releases; Field 4; target Record Revisions Record ID column.</t>
  </si>
  <si>
    <t>Releases / 5 Release Kind</t>
  </si>
  <si>
    <t>Release Kind for Releases: One versioned delivery manifest.</t>
  </si>
  <si>
    <t>I-T17-F05</t>
  </si>
  <si>
    <t>R-I-T17-F05</t>
  </si>
  <si>
    <t>T17-F05</t>
  </si>
  <si>
    <t>📦🏁 Releases; Field 5; owning artifact and its source requirements.</t>
  </si>
  <si>
    <t>Release Kind for Releases: One versioned delivery manifest. Use exactly one listed allowed value.</t>
  </si>
  <si>
    <t>Releases / 6 Primary File</t>
  </si>
  <si>
    <t>I-T17-F06</t>
  </si>
  <si>
    <t>R-I-T17-F06</t>
  </si>
  <si>
    <t>T17-F06</t>
  </si>
  <si>
    <t>📦🏁 Releases; Field 6; target File Revisions Record ID column.</t>
  </si>
  <si>
    <t>Releases / 7 Included Revisions</t>
  </si>
  <si>
    <t>Exact revision set fixed by this release.</t>
  </si>
  <si>
    <t>I-T17-F07</t>
  </si>
  <si>
    <t>R-I-T17-F07</t>
  </si>
  <si>
    <t>T17-F07</t>
  </si>
  <si>
    <t>📦🏁 Releases; Field 7; target Record Revisions Record ID column.</t>
  </si>
  <si>
    <t>Exact revision set fixed by this release. JSON array of unique target Record IDs; [] means no links.</t>
  </si>
  <si>
    <t>Releases / 8 Package File</t>
  </si>
  <si>
    <t>I-T17-F08</t>
  </si>
  <si>
    <t>R-I-T17-F08</t>
  </si>
  <si>
    <t>T17-F08</t>
  </si>
  <si>
    <t>📦🏁 Releases; Field 8; target File Revisions Record ID column.</t>
  </si>
  <si>
    <t>Releases / 9 Release Checks</t>
  </si>
  <si>
    <t>Complete required check set for this release, with at least one check.</t>
  </si>
  <si>
    <t>I-T17-F09</t>
  </si>
  <si>
    <t>R-I-T17-F09</t>
  </si>
  <si>
    <t>T17-F09</t>
  </si>
  <si>
    <t>📦🏁 Releases; Field 9; target Checks Record ID column.</t>
  </si>
  <si>
    <t>Complete required check set for this release, with at least one check. JSON array of unique target Record IDs; [] means no links.</t>
  </si>
  <si>
    <t>Releases / 10 Known Issues</t>
  </si>
  <si>
    <t>I-T17-F10</t>
  </si>
  <si>
    <t>R-I-T17-F10</t>
  </si>
  <si>
    <t>T17-F10</t>
  </si>
  <si>
    <t>📦🏁 Releases; Field 10; target Issues Record ID column.</t>
  </si>
  <si>
    <t>Releases / 11 Release Notes</t>
  </si>
  <si>
    <t>Release Notes for Releases: One versioned delivery manifest.</t>
  </si>
  <si>
    <t>I-T17-F11</t>
  </si>
  <si>
    <t>R-I-T17-F11</t>
  </si>
  <si>
    <t>T17-F11</t>
  </si>
  <si>
    <t>📦🏁 Releases; Field 11; owning artifact and its source requirements.</t>
  </si>
  <si>
    <t>Release Notes for Releases: One versioned delivery manifest. Enter a literal value; preserve distinction between blank and zero.</t>
  </si>
  <si>
    <t>Enter project-specific release notes.</t>
  </si>
  <si>
    <t>Releases / 12 Release Readiness</t>
  </si>
  <si>
    <t>Derived candidate readiness; never grants human approval.</t>
  </si>
  <si>
    <t>I-T17-F12</t>
  </si>
  <si>
    <t>R-I-T17-F12</t>
  </si>
  <si>
    <t>T17-F12</t>
  </si>
  <si>
    <t>📦🏁 Releases; Field 12; owning artifact and its source requirements.</t>
  </si>
  <si>
    <t>Derived candidate readiness; never grants human approval. Enter a literal value; preserve distinction between blank and zero.</t>
  </si>
  <si>
    <t>Enter project-specific release readiness.</t>
  </si>
  <si>
    <t>Table Dictionary use</t>
  </si>
  <si>
    <t>One schema Table definition.</t>
  </si>
  <si>
    <t>I-T18</t>
  </si>
  <si>
    <t>R-I-T18</t>
  </si>
  <si>
    <t>T18</t>
  </si>
  <si>
    <t>Table Dictionary / 1 Name</t>
  </si>
  <si>
    <t>I-T18-F01</t>
  </si>
  <si>
    <t>R-I-T18-F01</t>
  </si>
  <si>
    <t>T18-F01</t>
  </si>
  <si>
    <t>🗂️📖 Table Dictionary; Field 1; owning artifact and its source requirements.</t>
  </si>
  <si>
    <t>Table Dictionary / 2 Description</t>
  </si>
  <si>
    <t>I-T18-F02</t>
  </si>
  <si>
    <t>R-I-T18-F02</t>
  </si>
  <si>
    <t>T18-F02</t>
  </si>
  <si>
    <t>🗂️📖 Table Dictionary; Field 2; owning artifact and its source requirements.</t>
  </si>
  <si>
    <t>Table Dictionary / 3 Record ID</t>
  </si>
  <si>
    <t>I-T18-F03</t>
  </si>
  <si>
    <t>R-I-T18-F03</t>
  </si>
  <si>
    <t>T18-F03</t>
  </si>
  <si>
    <t>🗂️📖 Table Dictionary; Field 3; owning artifact and its source requirements.</t>
  </si>
  <si>
    <t>Table Dictionary / 4 Symbol</t>
  </si>
  <si>
    <t>Symbol for Table Dictionary: One schema Table definition.</t>
  </si>
  <si>
    <t>I-T18-F04</t>
  </si>
  <si>
    <t>R-I-T18-F04</t>
  </si>
  <si>
    <t>T18-F04</t>
  </si>
  <si>
    <t>🗂️📖 Table Dictionary; Field 4; owning artifact and its source requirements.</t>
  </si>
  <si>
    <t>Symbol for Table Dictionary: One schema Table definition. Enter a literal value; preserve distinction between blank and zero.</t>
  </si>
  <si>
    <t>Enter project-specific symbol.</t>
  </si>
  <si>
    <t>Table Dictionary / 5 Machine Name</t>
  </si>
  <si>
    <t>Machine Name for Table Dictionary: One schema Table definition.</t>
  </si>
  <si>
    <t>I-T18-F05</t>
  </si>
  <si>
    <t>R-I-T18-F05</t>
  </si>
  <si>
    <t>T18-F05</t>
  </si>
  <si>
    <t>🗂️📖 Table Dictionary; Field 5; owning artifact and its source requirements.</t>
  </si>
  <si>
    <t>Machine Name for Table Dictionary: One schema Table definition. Enter a literal value; preserve distinction between blank and zero.</t>
  </si>
  <si>
    <t>Enter project-specific machine name.</t>
  </si>
  <si>
    <t>Table Dictionary / 6 Table Order</t>
  </si>
  <si>
    <t>Table Order for Table Dictionary: One schema Table definition.</t>
  </si>
  <si>
    <t>I-T18-F06</t>
  </si>
  <si>
    <t>R-I-T18-F06</t>
  </si>
  <si>
    <t>T18-F06</t>
  </si>
  <si>
    <t>🗂️📖 Table Dictionary; Field 6; owning artifact and its source requirements.</t>
  </si>
  <si>
    <t>Table Order for Table Dictionary: One schema Table definition. Integer value; order and revision fields positive; quantity and link minima may be zero.</t>
  </si>
  <si>
    <t>Table Dictionary / 7 Record Meaning</t>
  </si>
  <si>
    <t>Record Meaning for Table Dictionary: One schema Table definition.</t>
  </si>
  <si>
    <t>I-T18-F07</t>
  </si>
  <si>
    <t>R-I-T18-F07</t>
  </si>
  <si>
    <t>T18-F07</t>
  </si>
  <si>
    <t>🗂️📖 Table Dictionary; Field 7; owning artifact and its source requirements.</t>
  </si>
  <si>
    <t>Record Meaning for Table Dictionary: One schema Table definition. Enter a literal value; preserve distinction between blank and zero.</t>
  </si>
  <si>
    <t>Enter project-specific record meaning.</t>
  </si>
  <si>
    <t>Table Dictionary / 8 Identity Rule</t>
  </si>
  <si>
    <t>Identity Rule for Table Dictionary: One schema Table definition.</t>
  </si>
  <si>
    <t>I-T18-F08</t>
  </si>
  <si>
    <t>R-I-T18-F08</t>
  </si>
  <si>
    <t>T18-F08</t>
  </si>
  <si>
    <t>🗂️📖 Table Dictionary; Field 8; owning artifact and its source requirements.</t>
  </si>
  <si>
    <t>Identity Rule for Table Dictionary: One schema Table definition. Enter a literal value; preserve distinction between blank and zero.</t>
  </si>
  <si>
    <t>Enter project-specific identity rule.</t>
  </si>
  <si>
    <t>Table Dictionary / 9 Revision Rule</t>
  </si>
  <si>
    <t>Revision Rule for Table Dictionary: One schema Table definition.</t>
  </si>
  <si>
    <t>I-T18-F09</t>
  </si>
  <si>
    <t>R-I-T18-F09</t>
  </si>
  <si>
    <t>T18-F09</t>
  </si>
  <si>
    <t>🗂️📖 Table Dictionary; Field 9; owning artifact and its source requirements.</t>
  </si>
  <si>
    <t>Revision Rule for Table Dictionary: One schema Table definition. Enter a literal value; preserve distinction between blank and zero.</t>
  </si>
  <si>
    <t>Enter project-specific revision rule.</t>
  </si>
  <si>
    <t>Table Dictionary / 10 Traversal Rules</t>
  </si>
  <si>
    <t>Traversal Rules for Table Dictionary: One schema Table definition.</t>
  </si>
  <si>
    <t>I-T18-F10</t>
  </si>
  <si>
    <t>R-I-T18-F10</t>
  </si>
  <si>
    <t>T18-F10</t>
  </si>
  <si>
    <t>🗂️📖 Table Dictionary; Field 10; owning artifact and its source requirements.</t>
  </si>
  <si>
    <t>Traversal Rules for Table Dictionary: One schema Table definition. Enter a literal value; preserve distinction between blank and zero.</t>
  </si>
  <si>
    <t>Enter project-specific traversal rules.</t>
  </si>
  <si>
    <t>Table Dictionary / 11 Clone Rule</t>
  </si>
  <si>
    <t>Clone Rule for Table Dictionary: One schema Table definition.</t>
  </si>
  <si>
    <t>I-T18-F11</t>
  </si>
  <si>
    <t>R-I-T18-F11</t>
  </si>
  <si>
    <t>T18-F11</t>
  </si>
  <si>
    <t>🗂️📖 Table Dictionary; Field 11; owning artifact and its source requirements.</t>
  </si>
  <si>
    <t>Clone Rule for Table Dictionary: One schema Table definition. Enter a literal value; preserve distinction between blank and zero.</t>
  </si>
  <si>
    <t>Enter project-specific clone rule.</t>
  </si>
  <si>
    <t>Table Dictionary / 12 Instructions</t>
  </si>
  <si>
    <t>I-T18-F12</t>
  </si>
  <si>
    <t>R-I-T18-F12</t>
  </si>
  <si>
    <t>T18-F12</t>
  </si>
  <si>
    <t>🗂️📖 Table Dictionary; Field 12; target Instructions Record ID column.</t>
  </si>
  <si>
    <t>Field Dictionary use</t>
  </si>
  <si>
    <t>One numbered Field definition.</t>
  </si>
  <si>
    <t>I-T19</t>
  </si>
  <si>
    <t>R-I-T19</t>
  </si>
  <si>
    <t>T19</t>
  </si>
  <si>
    <t>Table Dictionary; Table Dictionary; Instructions</t>
  </si>
  <si>
    <t>Field Dictionary / 1 Name</t>
  </si>
  <si>
    <t>I-T19-F01</t>
  </si>
  <si>
    <t>R-I-T19-F01</t>
  </si>
  <si>
    <t>T19-F01</t>
  </si>
  <si>
    <t>🔢📖 Field Dictionary; Field 1; owning artifact and its source requirements.</t>
  </si>
  <si>
    <t>Field Dictionary / 2 Description</t>
  </si>
  <si>
    <t>I-T19-F02</t>
  </si>
  <si>
    <t>R-I-T19-F02</t>
  </si>
  <si>
    <t>T19-F02</t>
  </si>
  <si>
    <t>🔢📖 Field Dictionary; Field 2; owning artifact and its source requirements.</t>
  </si>
  <si>
    <t>Field Dictionary / 3 Record ID</t>
  </si>
  <si>
    <t>I-T19-F03</t>
  </si>
  <si>
    <t>R-I-T19-F03</t>
  </si>
  <si>
    <t>T19-F03</t>
  </si>
  <si>
    <t>🔢📖 Field Dictionary; Field 3; owning artifact and its source requirements.</t>
  </si>
  <si>
    <t>Field Dictionary / 4 Table</t>
  </si>
  <si>
    <t>I-T19-F04</t>
  </si>
  <si>
    <t>R-I-T19-F04</t>
  </si>
  <si>
    <t>T19-F04</t>
  </si>
  <si>
    <t>🔢📖 Field Dictionary; Field 4; target Table Dictionary Record ID column.</t>
  </si>
  <si>
    <t>Field Dictionary / 5 Field Number</t>
  </si>
  <si>
    <t>Field Number for Field Dictionary: One numbered Field definition.</t>
  </si>
  <si>
    <t>I-T19-F05</t>
  </si>
  <si>
    <t>R-I-T19-F05</t>
  </si>
  <si>
    <t>T19-F05</t>
  </si>
  <si>
    <t>🔢📖 Field Dictionary; Field 5; owning artifact and its source requirements.</t>
  </si>
  <si>
    <t>Field Number for Field Dictionary: One numbered Field definition. Integer value; order and revision fields positive; quantity and link minima may be zero.</t>
  </si>
  <si>
    <t>Field Dictionary / 6 Machine Name</t>
  </si>
  <si>
    <t>Machine Name for Field Dictionary: One numbered Field definition.</t>
  </si>
  <si>
    <t>I-T19-F06</t>
  </si>
  <si>
    <t>R-I-T19-F06</t>
  </si>
  <si>
    <t>T19-F06</t>
  </si>
  <si>
    <t>🔢📖 Field Dictionary; Field 6; owning artifact and its source requirements.</t>
  </si>
  <si>
    <t>Machine Name for Field Dictionary: One numbered Field definition. Enter a literal value; preserve distinction between blank and zero.</t>
  </si>
  <si>
    <t>Field Dictionary / 7 Field Type</t>
  </si>
  <si>
    <t>Field Type for Field Dictionary: One numbered Field definition.</t>
  </si>
  <si>
    <t>I-T19-F07</t>
  </si>
  <si>
    <t>R-I-T19-F07</t>
  </si>
  <si>
    <t>T19-F07</t>
  </si>
  <si>
    <t>🔢📖 Field Dictionary; Field 7; owning artifact and its source requirements.</t>
  </si>
  <si>
    <t>Field Type for Field Dictionary: One numbered Field definition. Use exactly one listed allowed value.</t>
  </si>
  <si>
    <t>SHORT TEXT</t>
  </si>
  <si>
    <t>Field Dictionary / 8 Required When</t>
  </si>
  <si>
    <t>I-T19-F08</t>
  </si>
  <si>
    <t>R-I-T19-F08</t>
  </si>
  <si>
    <t>T19-F08</t>
  </si>
  <si>
    <t>🔢📖 Field Dictionary; Field 8; owning artifact and its source requirements.</t>
  </si>
  <si>
    <t>Field Dictionary / 9 Allowed Values</t>
  </si>
  <si>
    <t>Allowed Values for Field Dictionary: One numbered Field definition.</t>
  </si>
  <si>
    <t>I-T19-F09</t>
  </si>
  <si>
    <t>R-I-T19-F09</t>
  </si>
  <si>
    <t>T19-F09</t>
  </si>
  <si>
    <t>🔢📖 Field Dictionary; Field 9; owning artifact and its source requirements.</t>
  </si>
  <si>
    <t>Allowed Values for Field Dictionary: One numbered Field definition. Enter a literal value; preserve distinction between blank and zero.</t>
  </si>
  <si>
    <t>Enter project-specific allowed values.</t>
  </si>
  <si>
    <t>Field Dictionary / 10 Linked Table</t>
  </si>
  <si>
    <t>I-T19-F10</t>
  </si>
  <si>
    <t>R-I-T19-F10</t>
  </si>
  <si>
    <t>T19-F10</t>
  </si>
  <si>
    <t>🔢📖 Field Dictionary; Field 10; target Table Dictionary Record ID column.</t>
  </si>
  <si>
    <t>Field Dictionary / 11 Minimum Links</t>
  </si>
  <si>
    <t>Minimum Links for Field Dictionary: One numbered Field definition.</t>
  </si>
  <si>
    <t>I-T19-F11</t>
  </si>
  <si>
    <t>R-I-T19-F11</t>
  </si>
  <si>
    <t>T19-F11</t>
  </si>
  <si>
    <t>🔢📖 Field Dictionary; Field 11; owning artifact and its source requirements.</t>
  </si>
  <si>
    <t>Minimum Links for Field Dictionary: One numbered Field definition. Integer value; order and revision fields positive; quantity and link minima may be zero.</t>
  </si>
  <si>
    <t>Field Dictionary / 12 Maximum Links</t>
  </si>
  <si>
    <t>Maximum Links for Field Dictionary: One numbered Field definition.</t>
  </si>
  <si>
    <t>I-T19-F12</t>
  </si>
  <si>
    <t>R-I-T19-F12</t>
  </si>
  <si>
    <t>T19-F12</t>
  </si>
  <si>
    <t>🔢📖 Field Dictionary; Field 12; owning artifact and its source requirements.</t>
  </si>
  <si>
    <t>Maximum Links for Field Dictionary: One numbered Field definition. Integer value; order and revision fields positive; quantity and link minima may be zero.</t>
  </si>
  <si>
    <t>Field Dictionary / 13 Derivation</t>
  </si>
  <si>
    <t>Derivation for Field Dictionary: One numbered Field definition.</t>
  </si>
  <si>
    <t>I-T19-F13</t>
  </si>
  <si>
    <t>R-I-T19-F13</t>
  </si>
  <si>
    <t>T19-F13</t>
  </si>
  <si>
    <t>🔢📖 Field Dictionary; Field 13; owning artifact and its source requirements.</t>
  </si>
  <si>
    <t>Derivation for Field Dictionary: One numbered Field definition. Enter a literal value; preserve distinction between blank and zero.</t>
  </si>
  <si>
    <t>Enter project-specific derivation.</t>
  </si>
  <si>
    <t>Field Dictionary / 14 Validation Rule</t>
  </si>
  <si>
    <t>Validation Rule for Field Dictionary: One numbered Field definition.</t>
  </si>
  <si>
    <t>I-T19-F14</t>
  </si>
  <si>
    <t>R-I-T19-F14</t>
  </si>
  <si>
    <t>T19-F14</t>
  </si>
  <si>
    <t>🔢📖 Field Dictionary; Field 14; owning artifact and its source requirements.</t>
  </si>
  <si>
    <t>Validation Rule for Field Dictionary: One numbered Field definition. Enter a literal value; preserve distinction between blank and zero.</t>
  </si>
  <si>
    <t>Enter project-specific validation rule.</t>
  </si>
  <si>
    <t>Field Dictionary / 15 Instructions</t>
  </si>
  <si>
    <t>I-T19-F15</t>
  </si>
  <si>
    <t>R-I-T19-F15</t>
  </si>
  <si>
    <t>T19-F15</t>
  </si>
  <si>
    <t>🔢📖 Field Dictionary; Field 15; target Instructions Record ID column.</t>
  </si>
  <si>
    <t>Field Dictionary / 16 Clone Rule</t>
  </si>
  <si>
    <t>Clone Rule for Field Dictionary: One numbered Field definition.</t>
  </si>
  <si>
    <t>I-T19-F16</t>
  </si>
  <si>
    <t>R-I-T19-F16</t>
  </si>
  <si>
    <t>T19-F16</t>
  </si>
  <si>
    <t>🔢📖 Field Dictionary; Field 16; owning artifact and its source requirements.</t>
  </si>
  <si>
    <t>Clone Rule for Field Dictionary: One numbered Field definition. Enter a literal value; preserve distinction between blank and zero.</t>
  </si>
  <si>
    <t>Source Support use</t>
  </si>
  <si>
    <t>One source-to-content support relationship.</t>
  </si>
  <si>
    <t>I-T20</t>
  </si>
  <si>
    <t>R-I-T20</t>
  </si>
  <si>
    <t>T20</t>
  </si>
  <si>
    <t>Sources; Content Items</t>
  </si>
  <si>
    <t>Source Support / 1 Name</t>
  </si>
  <si>
    <t>I-T20-F01</t>
  </si>
  <si>
    <t>R-I-T20-F01</t>
  </si>
  <si>
    <t>T20-F01</t>
  </si>
  <si>
    <t>📚🔗 Source Support; Field 1; owning artifact and its source requirements.</t>
  </si>
  <si>
    <t>Source Support / 2 Description</t>
  </si>
  <si>
    <t>I-T20-F02</t>
  </si>
  <si>
    <t>R-I-T20-F02</t>
  </si>
  <si>
    <t>T20-F02</t>
  </si>
  <si>
    <t>📚🔗 Source Support; Field 2; owning artifact and its source requirements.</t>
  </si>
  <si>
    <t>Source Support / 3 Record ID</t>
  </si>
  <si>
    <t>I-T20-F03</t>
  </si>
  <si>
    <t>R-I-T20-F03</t>
  </si>
  <si>
    <t>T20-F03</t>
  </si>
  <si>
    <t>📚🔗 Source Support; Field 3; owning artifact and its source requirements.</t>
  </si>
  <si>
    <t>Source Support / 4 Source</t>
  </si>
  <si>
    <t>Link to one exact record in Sources.</t>
  </si>
  <si>
    <t>I-T20-F04</t>
  </si>
  <si>
    <t>R-I-T20-F04</t>
  </si>
  <si>
    <t>T20-F04</t>
  </si>
  <si>
    <t>📚🔗 Source Support; Field 4; target Sources Record ID column.</t>
  </si>
  <si>
    <t>Link to one exact record in Sources. Exact existing target Record ID; no labels or comma-separated lists.</t>
  </si>
  <si>
    <t>Open Sources in Reader using the stored target ID.</t>
  </si>
  <si>
    <t>Source Support / 5 Content Item</t>
  </si>
  <si>
    <t>I-T20-F05</t>
  </si>
  <si>
    <t>R-I-T20-F05</t>
  </si>
  <si>
    <t>T20-F05</t>
  </si>
  <si>
    <t>📚🔗 Source Support; Field 5; target Content Items Record ID column.</t>
  </si>
  <si>
    <t>Source Support / 6 Source Locator</t>
  </si>
  <si>
    <t>Section, page, paragraph, record, or message locating evidence.</t>
  </si>
  <si>
    <t>I-T20-F06</t>
  </si>
  <si>
    <t>R-I-T20-F06</t>
  </si>
  <si>
    <t>T20-F06</t>
  </si>
  <si>
    <t>📚🔗 Source Support; Field 6; owning artifact and its source requirements.</t>
  </si>
  <si>
    <t>Section, page, paragraph, record, or message locating evidence. Enter a literal value; preserve distinction between blank and zero.</t>
  </si>
  <si>
    <t>Enter project-specific source locator.</t>
  </si>
  <si>
    <t>Source Support / 7 Supported Statement</t>
  </si>
  <si>
    <t>Supported Statement for Source Support: One source-to-content support relationship.</t>
  </si>
  <si>
    <t>I-T20-F07</t>
  </si>
  <si>
    <t>R-I-T20-F07</t>
  </si>
  <si>
    <t>T20-F07</t>
  </si>
  <si>
    <t>📚🔗 Source Support; Field 7; owning artifact and its source requirements.</t>
  </si>
  <si>
    <t>Supported Statement for Source Support: One source-to-content support relationship. Enter a literal value; preserve distinction between blank and zero.</t>
  </si>
  <si>
    <t>Enter project-specific supported statement.</t>
  </si>
  <si>
    <t>Source Support / 8 Support Kind</t>
  </si>
  <si>
    <t>Support Kind for Source Support: One source-to-content support relationship.</t>
  </si>
  <si>
    <t>I-T20-F08</t>
  </si>
  <si>
    <t>R-I-T20-F08</t>
  </si>
  <si>
    <t>T20-F08</t>
  </si>
  <si>
    <t>📚🔗 Source Support; Field 8; owning artifact and its source requirements.</t>
  </si>
  <si>
    <t>Support Kind for Source Support: One source-to-content support relationship. Use exactly one listed allowed value.</t>
  </si>
  <si>
    <t>DIRECT</t>
  </si>
  <si>
    <t>Source Support / 9 Qualification</t>
  </si>
  <si>
    <t>Qualification for Source Support: One source-to-content support relationship.</t>
  </si>
  <si>
    <t>I-T20-F09</t>
  </si>
  <si>
    <t>R-I-T20-F09</t>
  </si>
  <si>
    <t>T20-F09</t>
  </si>
  <si>
    <t>📚🔗 Source Support; Field 9; owning artifact and its source requirements.</t>
  </si>
  <si>
    <t>Qualification for Source Support: One source-to-content support relationship. Enter a literal value; preserve distinction between blank and zero.</t>
  </si>
  <si>
    <t>Enter project-specific qualification.</t>
  </si>
  <si>
    <t>Figure Coverage use</t>
  </si>
  <si>
    <t>One figure-to-content coverage obligation.</t>
  </si>
  <si>
    <t>I-T21</t>
  </si>
  <si>
    <t>R-I-T21</t>
  </si>
  <si>
    <t>T21</t>
  </si>
  <si>
    <t>Figure Contracts; Content Items</t>
  </si>
  <si>
    <t>Figure Coverage / 1 Name</t>
  </si>
  <si>
    <t>I-T21-F01</t>
  </si>
  <si>
    <t>R-I-T21-F01</t>
  </si>
  <si>
    <t>T21-F01</t>
  </si>
  <si>
    <t>🖼️🔗 Figure Coverage; Field 1; owning artifact and its source requirements.</t>
  </si>
  <si>
    <t>Figure Coverage / 2 Description</t>
  </si>
  <si>
    <t>I-T21-F02</t>
  </si>
  <si>
    <t>R-I-T21-F02</t>
  </si>
  <si>
    <t>T21-F02</t>
  </si>
  <si>
    <t>🖼️🔗 Figure Coverage; Field 2; owning artifact and its source requirements.</t>
  </si>
  <si>
    <t>Figure Coverage / 3 Record ID</t>
  </si>
  <si>
    <t>I-T21-F03</t>
  </si>
  <si>
    <t>R-I-T21-F03</t>
  </si>
  <si>
    <t>T21-F03</t>
  </si>
  <si>
    <t>🖼️🔗 Figure Coverage; Field 3; owning artifact and its source requirements.</t>
  </si>
  <si>
    <t>Figure Coverage / 4 Figure Contract</t>
  </si>
  <si>
    <t>I-T21-F04</t>
  </si>
  <si>
    <t>R-I-T21-F04</t>
  </si>
  <si>
    <t>T21-F04</t>
  </si>
  <si>
    <t>🖼️🔗 Figure Coverage; Field 4; target Figure Contracts Record ID column.</t>
  </si>
  <si>
    <t>Figure Coverage / 5 Content Item</t>
  </si>
  <si>
    <t>I-T21-F05</t>
  </si>
  <si>
    <t>R-I-T21-F05</t>
  </si>
  <si>
    <t>T21-F05</t>
  </si>
  <si>
    <t>🖼️🔗 Figure Coverage; Field 5; target Content Items Record ID column.</t>
  </si>
  <si>
    <t>Figure Coverage / 6 Explanatory Role</t>
  </si>
  <si>
    <t>Explanatory Role for Figure Coverage: One figure-to-content coverage obligation.</t>
  </si>
  <si>
    <t>I-T21-F06</t>
  </si>
  <si>
    <t>R-I-T21-F06</t>
  </si>
  <si>
    <t>T21-F06</t>
  </si>
  <si>
    <t>🖼️🔗 Figure Coverage; Field 6; owning artifact and its source requirements.</t>
  </si>
  <si>
    <t>Explanatory Role for Figure Coverage: One figure-to-content coverage obligation. Enter a literal value; preserve distinction between blank and zero.</t>
  </si>
  <si>
    <t>Enter project-specific explanatory role.</t>
  </si>
  <si>
    <t>Figure Coverage / 7 Coverage Criterion</t>
  </si>
  <si>
    <t>Coverage Criterion for Figure Coverage: One figure-to-content coverage obligation.</t>
  </si>
  <si>
    <t>I-T21-F07</t>
  </si>
  <si>
    <t>R-I-T21-F07</t>
  </si>
  <si>
    <t>T21-F07</t>
  </si>
  <si>
    <t>🖼️🔗 Figure Coverage; Field 7; owning artifact and its source requirements.</t>
  </si>
  <si>
    <t>Coverage Criterion for Figure Coverage: One figure-to-content coverage obligation. Enter a literal value; preserve distinction between blank and zero.</t>
  </si>
  <si>
    <t>Enter project-specific coverage criterion.</t>
  </si>
  <si>
    <t>Figure Requirements use</t>
  </si>
  <si>
    <t>One figure-to-asset requirement relationship.</t>
  </si>
  <si>
    <t>I-T22</t>
  </si>
  <si>
    <t>R-I-T22</t>
  </si>
  <si>
    <t>T22</t>
  </si>
  <si>
    <t>Figure Contracts; Asset Requirements</t>
  </si>
  <si>
    <t>Figure Requirements / 1 Name</t>
  </si>
  <si>
    <t>I-T22-F01</t>
  </si>
  <si>
    <t>R-I-T22-F01</t>
  </si>
  <si>
    <t>T22-F01</t>
  </si>
  <si>
    <t>🧰🔗 Figure Requirements; Field 1; owning artifact and its source requirements.</t>
  </si>
  <si>
    <t>Figure Requirements / 2 Description</t>
  </si>
  <si>
    <t>I-T22-F02</t>
  </si>
  <si>
    <t>R-I-T22-F02</t>
  </si>
  <si>
    <t>T22-F02</t>
  </si>
  <si>
    <t>🧰🔗 Figure Requirements; Field 2; owning artifact and its source requirements.</t>
  </si>
  <si>
    <t>Figure Requirements / 3 Record ID</t>
  </si>
  <si>
    <t>I-T22-F03</t>
  </si>
  <si>
    <t>R-I-T22-F03</t>
  </si>
  <si>
    <t>T22-F03</t>
  </si>
  <si>
    <t>🧰🔗 Figure Requirements; Field 3; owning artifact and its source requirements.</t>
  </si>
  <si>
    <t>Figure Requirements / 4 Figure Contract</t>
  </si>
  <si>
    <t>I-T22-F04</t>
  </si>
  <si>
    <t>R-I-T22-F04</t>
  </si>
  <si>
    <t>T22-F04</t>
  </si>
  <si>
    <t>🧰🔗 Figure Requirements; Field 4; target Figure Contracts Record ID column.</t>
  </si>
  <si>
    <t>Figure Requirements / 5 Asset Requirement</t>
  </si>
  <si>
    <t>Link to one exact record in Asset Requirements.</t>
  </si>
  <si>
    <t>I-T22-F05</t>
  </si>
  <si>
    <t>R-I-T22-F05</t>
  </si>
  <si>
    <t>T22-F05</t>
  </si>
  <si>
    <t>🧰🔗 Figure Requirements; Field 5; target Asset Requirements Record ID column.</t>
  </si>
  <si>
    <t>Link to one exact record in Asset Requirements. Exact existing target Record ID; no labels or comma-separated lists.</t>
  </si>
  <si>
    <t>Open Asset Requirements in Reader using the stored target ID.</t>
  </si>
  <si>
    <t>Figure Requirements / 6 Usage Role</t>
  </si>
  <si>
    <t>Usage Role for Figure Requirements: One figure-to-asset requirement relationship.</t>
  </si>
  <si>
    <t>I-T22-F06</t>
  </si>
  <si>
    <t>R-I-T22-F06</t>
  </si>
  <si>
    <t>T22-F06</t>
  </si>
  <si>
    <t>🧰🔗 Figure Requirements; Field 6; owning artifact and its source requirements.</t>
  </si>
  <si>
    <t>Usage Role for Figure Requirements: One figure-to-asset requirement relationship. Enter a literal value; preserve distinction between blank and zero.</t>
  </si>
  <si>
    <t>Enter project-specific usage role.</t>
  </si>
  <si>
    <t>Figure Requirements / 7 Minimum Quantity</t>
  </si>
  <si>
    <t>Minimum Quantity for Figure Requirements: One figure-to-asset requirement relationship.</t>
  </si>
  <si>
    <t>I-T22-F07</t>
  </si>
  <si>
    <t>R-I-T22-F07</t>
  </si>
  <si>
    <t>T22-F07</t>
  </si>
  <si>
    <t>🧰🔗 Figure Requirements; Field 7; owning artifact and its source requirements.</t>
  </si>
  <si>
    <t>Minimum Quantity for Figure Requirements: One figure-to-asset requirement relationship. Integer value; order and revision fields positive; quantity and link minima may be zero.</t>
  </si>
  <si>
    <t>Figure Requirements / 8 Maximum Quantity</t>
  </si>
  <si>
    <t>Maximum Quantity for Figure Requirements: One figure-to-asset requirement relationship.</t>
  </si>
  <si>
    <t>I-T22-F08</t>
  </si>
  <si>
    <t>R-I-T22-F08</t>
  </si>
  <si>
    <t>T22-F08</t>
  </si>
  <si>
    <t>🧰🔗 Figure Requirements; Field 8; owning artifact and its source requirements.</t>
  </si>
  <si>
    <t>Maximum Quantity for Figure Requirements: One figure-to-asset requirement relationship. Integer value; order and revision fields positive; quantity and link minima may be zero.</t>
  </si>
  <si>
    <t>Figure Requirements / 9 Application Instructions</t>
  </si>
  <si>
    <t>Application Instructions for Figure Requirements: One figure-to-asset requirement relationship.</t>
  </si>
  <si>
    <t>I-T22-F09</t>
  </si>
  <si>
    <t>R-I-T22-F09</t>
  </si>
  <si>
    <t>T22-F09</t>
  </si>
  <si>
    <t>🧰🔗 Figure Requirements; Field 9; owning artifact and its source requirements.</t>
  </si>
  <si>
    <t>Application Instructions for Figure Requirements: One figure-to-asset requirement relationship. Enter a literal value; preserve distinction between blank and zero.</t>
  </si>
  <si>
    <t>Enter project-specific application instructions.</t>
  </si>
  <si>
    <t>Requirement Fulfillment use</t>
  </si>
  <si>
    <t>One candidate or selected file for an asset role.</t>
  </si>
  <si>
    <t>I-T23</t>
  </si>
  <si>
    <t>R-I-T23</t>
  </si>
  <si>
    <t>T23</t>
  </si>
  <si>
    <t>Asset Requirements; File Revisions; Checks</t>
  </si>
  <si>
    <t>Requirement Fulfillment / 1 Name</t>
  </si>
  <si>
    <t>I-T23-F01</t>
  </si>
  <si>
    <t>R-I-T23-F01</t>
  </si>
  <si>
    <t>T23-F01</t>
  </si>
  <si>
    <t>📎🔗 Requirement Fulfillment; Field 1; owning artifact and its source requirements.</t>
  </si>
  <si>
    <t>Requirement Fulfillment / 2 Description</t>
  </si>
  <si>
    <t>I-T23-F02</t>
  </si>
  <si>
    <t>R-I-T23-F02</t>
  </si>
  <si>
    <t>T23-F02</t>
  </si>
  <si>
    <t>📎🔗 Requirement Fulfillment; Field 2; owning artifact and its source requirements.</t>
  </si>
  <si>
    <t>Requirement Fulfillment / 3 Record ID</t>
  </si>
  <si>
    <t>I-T23-F03</t>
  </si>
  <si>
    <t>R-I-T23-F03</t>
  </si>
  <si>
    <t>T23-F03</t>
  </si>
  <si>
    <t>📎🔗 Requirement Fulfillment; Field 3; owning artifact and its source requirements.</t>
  </si>
  <si>
    <t>Requirement Fulfillment / 4 Asset Requirement</t>
  </si>
  <si>
    <t>I-T23-F04</t>
  </si>
  <si>
    <t>R-I-T23-F04</t>
  </si>
  <si>
    <t>T23-F04</t>
  </si>
  <si>
    <t>📎🔗 Requirement Fulfillment; Field 4; target Asset Requirements Record ID column.</t>
  </si>
  <si>
    <t>Requirement Fulfillment / 5 File Revision</t>
  </si>
  <si>
    <t>I-T23-F05</t>
  </si>
  <si>
    <t>R-I-T23-F05</t>
  </si>
  <si>
    <t>T23-F05</t>
  </si>
  <si>
    <t>📎🔗 Requirement Fulfillment; Field 5; target File Revisions Record ID column.</t>
  </si>
  <si>
    <t>Requirement Fulfillment / 6 Selection State</t>
  </si>
  <si>
    <t>Selection State for Requirement Fulfillment: One candidate or selected file for an asset role.</t>
  </si>
  <si>
    <t>I-T23-F06</t>
  </si>
  <si>
    <t>R-I-T23-F06</t>
  </si>
  <si>
    <t>T23-F06</t>
  </si>
  <si>
    <t>📎🔗 Requirement Fulfillment; Field 6; owning artifact and its source requirements.</t>
  </si>
  <si>
    <t>Selection State for Requirement Fulfillment: One candidate or selected file for an asset role. Use exactly one listed allowed value.</t>
  </si>
  <si>
    <t>CANDIDATE</t>
  </si>
  <si>
    <t>Requirement Fulfillment / 7 Fulfillment Checks</t>
  </si>
  <si>
    <t>I-T23-F07</t>
  </si>
  <si>
    <t>R-I-T23-F07</t>
  </si>
  <si>
    <t>T23-F07</t>
  </si>
  <si>
    <t>📎🔗 Requirement Fulfillment; Field 7; target Checks Record ID column.</t>
  </si>
  <si>
    <t>Requirement Fulfillment / 8 Selection Rationale</t>
  </si>
  <si>
    <t>Selection Rationale for Requirement Fulfillment: One candidate or selected file for an asset role.</t>
  </si>
  <si>
    <t>I-T23-F08</t>
  </si>
  <si>
    <t>R-I-T23-F08</t>
  </si>
  <si>
    <t>T23-F08</t>
  </si>
  <si>
    <t>📎🔗 Requirement Fulfillment; Field 8; owning artifact and its source requirements.</t>
  </si>
  <si>
    <t>Selection Rationale for Requirement Fulfillment: One candidate or selected file for an asset role. Enter a literal value; preserve distinction between blank and zero.</t>
  </si>
  <si>
    <t>Enter project-specific selection rationale.</t>
  </si>
  <si>
    <t>Requirement Fulfillment / 9 Use Instructions</t>
  </si>
  <si>
    <t>Use Instructions for Requirement Fulfillment: One candidate or selected file for an asset role.</t>
  </si>
  <si>
    <t>I-T23-F09</t>
  </si>
  <si>
    <t>R-I-T23-F09</t>
  </si>
  <si>
    <t>T23-F09</t>
  </si>
  <si>
    <t>📎🔗 Requirement Fulfillment; Field 9; owning artifact and its source requirements.</t>
  </si>
  <si>
    <t>Use Instructions for Requirement Fulfillment: One candidate or selected file for an asset role. Enter a literal value; preserve distinction between blank and zero.</t>
  </si>
  <si>
    <t>Enter project-specific use instructions.</t>
  </si>
  <si>
    <t>Run Artifacts use</t>
  </si>
  <si>
    <t>One input/output binding of an exact revision to a Run.</t>
  </si>
  <si>
    <t>I-T24</t>
  </si>
  <si>
    <t>R-I-T24</t>
  </si>
  <si>
    <t>T24</t>
  </si>
  <si>
    <t>Pass Runs; Record Revisions; Approvals</t>
  </si>
  <si>
    <t>Run Artifacts / 1 Name</t>
  </si>
  <si>
    <t>I-T24-F01</t>
  </si>
  <si>
    <t>R-I-T24-F01</t>
  </si>
  <si>
    <t>T24-F01</t>
  </si>
  <si>
    <t>🐙🔗 Run Artifacts; Field 1; owning artifact and its source requirements.</t>
  </si>
  <si>
    <t>Run Artifacts / 2 Description</t>
  </si>
  <si>
    <t>I-T24-F02</t>
  </si>
  <si>
    <t>R-I-T24-F02</t>
  </si>
  <si>
    <t>T24-F02</t>
  </si>
  <si>
    <t>🐙🔗 Run Artifacts; Field 2; owning artifact and its source requirements.</t>
  </si>
  <si>
    <t>Run Artifacts / 3 Record ID</t>
  </si>
  <si>
    <t>I-T24-F03</t>
  </si>
  <si>
    <t>R-I-T24-F03</t>
  </si>
  <si>
    <t>T24-F03</t>
  </si>
  <si>
    <t>🐙🔗 Run Artifacts; Field 3; owning artifact and its source requirements.</t>
  </si>
  <si>
    <t>Run Artifacts / 4 Pass Run</t>
  </si>
  <si>
    <t>I-T24-F04</t>
  </si>
  <si>
    <t>R-I-T24-F04</t>
  </si>
  <si>
    <t>T24-F04</t>
  </si>
  <si>
    <t>🐙🔗 Run Artifacts; Field 4; target Pass Runs Record ID column.</t>
  </si>
  <si>
    <t>Run Artifacts / 5 Artifact Revision</t>
  </si>
  <si>
    <t>I-T24-F05</t>
  </si>
  <si>
    <t>R-I-T24-F05</t>
  </si>
  <si>
    <t>T24-F05</t>
  </si>
  <si>
    <t>🐙🔗 Run Artifacts; Field 5; target Record Revisions Record ID column.</t>
  </si>
  <si>
    <t>Run Artifacts / 6 Direction</t>
  </si>
  <si>
    <t>Direction for Run Artifacts: One input/output binding of an exact revision to a Run.</t>
  </si>
  <si>
    <t>I-T24-F06</t>
  </si>
  <si>
    <t>R-I-T24-F06</t>
  </si>
  <si>
    <t>T24-F06</t>
  </si>
  <si>
    <t>🐙🔗 Run Artifacts; Field 6; owning artifact and its source requirements.</t>
  </si>
  <si>
    <t>Direction for Run Artifacts: One input/output binding of an exact revision to a Run. Use exactly one listed allowed value.</t>
  </si>
  <si>
    <t>INPUT</t>
  </si>
  <si>
    <t>Run Artifacts / 7 Slot</t>
  </si>
  <si>
    <t>Slot for Run Artifacts: One input/output binding of an exact revision to a Run.</t>
  </si>
  <si>
    <t>I-T24-F07</t>
  </si>
  <si>
    <t>R-I-T24-F07</t>
  </si>
  <si>
    <t>T24-F07</t>
  </si>
  <si>
    <t>🐙🔗 Run Artifacts; Field 7; owning artifact and its source requirements.</t>
  </si>
  <si>
    <t>Slot for Run Artifacts: One input/output binding of an exact revision to a Run. Enter a literal value; preserve distinction between blank and zero.</t>
  </si>
  <si>
    <t>Enter project-specific slot.</t>
  </si>
  <si>
    <t>Run Artifacts / 8 Slot Order</t>
  </si>
  <si>
    <t>Slot Order for Run Artifacts: One input/output binding of an exact revision to a Run.</t>
  </si>
  <si>
    <t>I-T24-F08</t>
  </si>
  <si>
    <t>R-I-T24-F08</t>
  </si>
  <si>
    <t>T24-F08</t>
  </si>
  <si>
    <t>🐙🔗 Run Artifacts; Field 8; owning artifact and its source requirements.</t>
  </si>
  <si>
    <t>Slot Order for Run Artifacts: One input/output binding of an exact revision to a Run. Integer value; order and revision fields positive; quantity and link minima may be zero.</t>
  </si>
  <si>
    <t>Run Artifacts / 9 Input Approval</t>
  </si>
  <si>
    <t>Optional historical approval reference; sandbox execution does not require it.</t>
  </si>
  <si>
    <t>I-T24-F09</t>
  </si>
  <si>
    <t>R-I-T24-F09</t>
  </si>
  <si>
    <t>T24-F09</t>
  </si>
  <si>
    <t>🐙🔗 Run Artifacts; Field 9; target Approvals Record ID column.</t>
  </si>
  <si>
    <t>Optional historical reference. Never required for SANDBOX.</t>
  </si>
  <si>
    <t>Optional historical approval reference; sandbox execution does not require it. Exact existing target Record ID; no labels or comma-separated lists.</t>
  </si>
  <si>
    <t>Run Artifacts / 10 Handoff Notes</t>
  </si>
  <si>
    <t>Handoff Notes for Run Artifacts: One input/output binding of an exact revision to a Run.</t>
  </si>
  <si>
    <t>I-T24-F10</t>
  </si>
  <si>
    <t>R-I-T24-F10</t>
  </si>
  <si>
    <t>T24-F10</t>
  </si>
  <si>
    <t>🐙🔗 Run Artifacts; Field 10; owning artifact and its source requirements.</t>
  </si>
  <si>
    <t>Handoff Notes for Run Artifacts: One input/output binding of an exact revision to a Run. Enter a literal value; preserve distinction between blank and zero.</t>
  </si>
  <si>
    <t>Enter project-specific handoff notes.</t>
  </si>
  <si>
    <t>Document Plans use</t>
  </si>
  <si>
    <t>One document assembly plan owning ordered placements before rendering.</t>
  </si>
  <si>
    <t>I-T25</t>
  </si>
  <si>
    <t>R-I-T25</t>
  </si>
  <si>
    <t>T25</t>
  </si>
  <si>
    <t>Record Revisions; Projects; Templates; Rulesets; Themes; File Revisions</t>
  </si>
  <si>
    <t>Document Plans / 1 Name</t>
  </si>
  <si>
    <t>I-T25-F01</t>
  </si>
  <si>
    <t>R-I-T25-F01</t>
  </si>
  <si>
    <t>T25-F01</t>
  </si>
  <si>
    <t>📄🗺️ Document Plans; Field 1; owning artifact and its source requirements.</t>
  </si>
  <si>
    <t>Document Plans / 2 Description</t>
  </si>
  <si>
    <t>I-T25-F02</t>
  </si>
  <si>
    <t>R-I-T25-F02</t>
  </si>
  <si>
    <t>T25-F02</t>
  </si>
  <si>
    <t>📄🗺️ Document Plans; Field 2; owning artifact and its source requirements.</t>
  </si>
  <si>
    <t>Document Plans / 3 Record ID</t>
  </si>
  <si>
    <t>I-T25-F03</t>
  </si>
  <si>
    <t>R-I-T25-F03</t>
  </si>
  <si>
    <t>T25-F03</t>
  </si>
  <si>
    <t>📄🗺️ Document Plans; Field 3; owning artifact and its source requirements.</t>
  </si>
  <si>
    <t>Document Plans / 4 Revision</t>
  </si>
  <si>
    <t>I-T25-F04</t>
  </si>
  <si>
    <t>R-I-T25-F04</t>
  </si>
  <si>
    <t>T25-F04</t>
  </si>
  <si>
    <t>📄🗺️ Document Plans; Field 4; target Record Revisions Record ID column.</t>
  </si>
  <si>
    <t>Document Plans / 5 Project</t>
  </si>
  <si>
    <t>I-T25-F05</t>
  </si>
  <si>
    <t>R-I-T25-F05</t>
  </si>
  <si>
    <t>T25-F05</t>
  </si>
  <si>
    <t>📄🗺️ Document Plans; Field 5; target Projects Record ID column.</t>
  </si>
  <si>
    <t>Document Plans / 6 Template</t>
  </si>
  <si>
    <t>I-T25-F06</t>
  </si>
  <si>
    <t>R-I-T25-F06</t>
  </si>
  <si>
    <t>T25-F06</t>
  </si>
  <si>
    <t>📄🗺️ Document Plans; Field 6; target Templates Record ID column.</t>
  </si>
  <si>
    <t>Document Plans / 7 Ruleset</t>
  </si>
  <si>
    <t>I-T25-F07</t>
  </si>
  <si>
    <t>R-I-T25-F07</t>
  </si>
  <si>
    <t>T25-F07</t>
  </si>
  <si>
    <t>📄🗺️ Document Plans; Field 7; target Rulesets Record ID column.</t>
  </si>
  <si>
    <t>Document Plans / 8 Theme</t>
  </si>
  <si>
    <t>I-T25-F08</t>
  </si>
  <si>
    <t>R-I-T25-F08</t>
  </si>
  <si>
    <t>T25-F08</t>
  </si>
  <si>
    <t>📄🗺️ Document Plans; Field 8; target Themes Record ID column.</t>
  </si>
  <si>
    <t>Document Plans / 9 Spine Instructions</t>
  </si>
  <si>
    <t>Spine Instructions for Document Plans: One document assembly plan owning ordered placements before rendering.</t>
  </si>
  <si>
    <t>I-T25-F09</t>
  </si>
  <si>
    <t>R-I-T25-F09</t>
  </si>
  <si>
    <t>T25-F09</t>
  </si>
  <si>
    <t>📄🗺️ Document Plans; Field 9; owning artifact and its source requirements.</t>
  </si>
  <si>
    <t>Spine Instructions for Document Plans: One document assembly plan owning ordered placements before rendering. Enter a literal value; preserve distinction between blank and zero.</t>
  </si>
  <si>
    <t>Enter project-specific spine instructions.</t>
  </si>
  <si>
    <t>Document Plans / 10 Candidate File</t>
  </si>
  <si>
    <t>I-T25-F10</t>
  </si>
  <si>
    <t>R-I-T25-F10</t>
  </si>
  <si>
    <t>T25-F10</t>
  </si>
  <si>
    <t>📄🗺️ Document Plans; Field 10; target File Revisions Record ID column.</t>
  </si>
  <si>
    <t>Templates use</t>
  </si>
  <si>
    <t>One reusable presentation and assembly contract.</t>
  </si>
  <si>
    <t>I-T26</t>
  </si>
  <si>
    <t>R-I-T26</t>
  </si>
  <si>
    <t>T26</t>
  </si>
  <si>
    <t>Record Revisions; Rulesets; Themes</t>
  </si>
  <si>
    <t>Templates / 1 Name</t>
  </si>
  <si>
    <t>I-T26-F01</t>
  </si>
  <si>
    <t>R-I-T26-F01</t>
  </si>
  <si>
    <t>T26-F01</t>
  </si>
  <si>
    <t>📄🧱 Templates; Field 1; owning artifact and its source requirements.</t>
  </si>
  <si>
    <t>Templates / 2 Description</t>
  </si>
  <si>
    <t>I-T26-F02</t>
  </si>
  <si>
    <t>R-I-T26-F02</t>
  </si>
  <si>
    <t>T26-F02</t>
  </si>
  <si>
    <t>📄🧱 Templates; Field 2; owning artifact and its source requirements.</t>
  </si>
  <si>
    <t>Templates / 3 Record ID</t>
  </si>
  <si>
    <t>I-T26-F03</t>
  </si>
  <si>
    <t>R-I-T26-F03</t>
  </si>
  <si>
    <t>T26-F03</t>
  </si>
  <si>
    <t>📄🧱 Templates; Field 3; owning artifact and its source requirements.</t>
  </si>
  <si>
    <t>Templates / 4 Revision</t>
  </si>
  <si>
    <t>I-T26-F04</t>
  </si>
  <si>
    <t>R-I-T26-F04</t>
  </si>
  <si>
    <t>T26-F04</t>
  </si>
  <si>
    <t>📄🧱 Templates; Field 4; target Record Revisions Record ID column.</t>
  </si>
  <si>
    <t>Templates / 5 Output Kind</t>
  </si>
  <si>
    <t>Output Kind for Templates: One reusable presentation and assembly contract.</t>
  </si>
  <si>
    <t>I-T26-F05</t>
  </si>
  <si>
    <t>R-I-T26-F05</t>
  </si>
  <si>
    <t>T26-F05</t>
  </si>
  <si>
    <t>📄🧱 Templates; Field 5; owning artifact and its source requirements.</t>
  </si>
  <si>
    <t>Output Kind for Templates: One reusable presentation and assembly contract. Use exactly one listed allowed value.</t>
  </si>
  <si>
    <t>DOCX</t>
  </si>
  <si>
    <t>Templates / 6 Assembly Instructions</t>
  </si>
  <si>
    <t>Assembly Instructions for Templates: One reusable presentation and assembly contract.</t>
  </si>
  <si>
    <t>I-T26-F06</t>
  </si>
  <si>
    <t>R-I-T26-F06</t>
  </si>
  <si>
    <t>T26-F06</t>
  </si>
  <si>
    <t>📄🧱 Templates; Field 6; owning artifact and its source requirements.</t>
  </si>
  <si>
    <t>Assembly Instructions for Templates: One reusable presentation and assembly contract. Enter a literal value; preserve distinction between blank and zero.</t>
  </si>
  <si>
    <t>Enter project-specific assembly instructions.</t>
  </si>
  <si>
    <t>Templates / 7 Default Ruleset</t>
  </si>
  <si>
    <t>I-T26-F07</t>
  </si>
  <si>
    <t>R-I-T26-F07</t>
  </si>
  <si>
    <t>T26-F07</t>
  </si>
  <si>
    <t>📄🧱 Templates; Field 7; target Rulesets Record ID column.</t>
  </si>
  <si>
    <t>Templates / 8 Default Theme</t>
  </si>
  <si>
    <t>I-T26-F08</t>
  </si>
  <si>
    <t>R-I-T26-F08</t>
  </si>
  <si>
    <t>T26-F08</t>
  </si>
  <si>
    <t>📄🧱 Templates; Field 8; target Themes Record ID column.</t>
  </si>
  <si>
    <t>Templates / 9 Fit Policy</t>
  </si>
  <si>
    <t>Fit Policy for Templates: One reusable presentation and assembly contract.</t>
  </si>
  <si>
    <t>I-T26-F09</t>
  </si>
  <si>
    <t>R-I-T26-F09</t>
  </si>
  <si>
    <t>T26-F09</t>
  </si>
  <si>
    <t>📄🧱 Templates; Field 9; owning artifact and its source requirements.</t>
  </si>
  <si>
    <t>Fit Policy for Templates: One reusable presentation and assembly contract. Enter a literal value; preserve distinction between blank and zero.</t>
  </si>
  <si>
    <t>Enter project-specific fit policy.</t>
  </si>
  <si>
    <t>Templates / 10 Renderer Contract</t>
  </si>
  <si>
    <t>Renderer Contract for Templates: One reusable presentation and assembly contract.</t>
  </si>
  <si>
    <t>I-T26-F10</t>
  </si>
  <si>
    <t>R-I-T26-F10</t>
  </si>
  <si>
    <t>T26-F10</t>
  </si>
  <si>
    <t>📄🧱 Templates; Field 10; owning artifact and its source requirements.</t>
  </si>
  <si>
    <t>Renderer Contract for Templates: One reusable presentation and assembly contract. Enter a literal value; preserve distinction between blank and zero.</t>
  </si>
  <si>
    <t>Enter project-specific renderer contract.</t>
  </si>
  <si>
    <t>Template Slots use</t>
  </si>
  <si>
    <t>One typed region and fit contract inside a Template.</t>
  </si>
  <si>
    <t>I-T27</t>
  </si>
  <si>
    <t>R-I-T27</t>
  </si>
  <si>
    <t>T27</t>
  </si>
  <si>
    <t>Record Revisions; Templates</t>
  </si>
  <si>
    <t>Template Slots / 1 Name</t>
  </si>
  <si>
    <t>I-T27-F01</t>
  </si>
  <si>
    <t>R-I-T27-F01</t>
  </si>
  <si>
    <t>T27-F01</t>
  </si>
  <si>
    <t>📄🕳️ Template Slots; Field 1; owning artifact and its source requirements.</t>
  </si>
  <si>
    <t>Template Slots / 2 Description</t>
  </si>
  <si>
    <t>I-T27-F02</t>
  </si>
  <si>
    <t>R-I-T27-F02</t>
  </si>
  <si>
    <t>T27-F02</t>
  </si>
  <si>
    <t>📄🕳️ Template Slots; Field 2; owning artifact and its source requirements.</t>
  </si>
  <si>
    <t>Template Slots / 3 Record ID</t>
  </si>
  <si>
    <t>I-T27-F03</t>
  </si>
  <si>
    <t>R-I-T27-F03</t>
  </si>
  <si>
    <t>T27-F03</t>
  </si>
  <si>
    <t>📄🕳️ Template Slots; Field 3; owning artifact and its source requirements.</t>
  </si>
  <si>
    <t>Template Slots / 4 Revision</t>
  </si>
  <si>
    <t>I-T27-F04</t>
  </si>
  <si>
    <t>R-I-T27-F04</t>
  </si>
  <si>
    <t>T27-F04</t>
  </si>
  <si>
    <t>📄🕳️ Template Slots; Field 4; target Record Revisions Record ID column.</t>
  </si>
  <si>
    <t>Template Slots / 5 Template</t>
  </si>
  <si>
    <t>I-T27-F05</t>
  </si>
  <si>
    <t>R-I-T27-F05</t>
  </si>
  <si>
    <t>T27-F05</t>
  </si>
  <si>
    <t>📄🕳️ Template Slots; Field 5; target Templates Record ID column.</t>
  </si>
  <si>
    <t>Template Slots / 6 Slot Role</t>
  </si>
  <si>
    <t>Slot Role for Template Slots: One typed region and fit contract inside a Template.</t>
  </si>
  <si>
    <t>I-T27-F06</t>
  </si>
  <si>
    <t>R-I-T27-F06</t>
  </si>
  <si>
    <t>T27-F06</t>
  </si>
  <si>
    <t>📄🕳️ Template Slots; Field 6; owning artifact and its source requirements.</t>
  </si>
  <si>
    <t>Slot Role for Template Slots: One typed region and fit contract inside a Template. Enter a literal value; preserve distinction between blank and zero.</t>
  </si>
  <si>
    <t>Enter project-specific slot role.</t>
  </si>
  <si>
    <t>Template Slots / 7 Spine Type</t>
  </si>
  <si>
    <t>I-T27-F07</t>
  </si>
  <si>
    <t>R-I-T27-F07</t>
  </si>
  <si>
    <t>T27-F07</t>
  </si>
  <si>
    <t>📄🕳️ Template Slots; Field 7; owning artifact and its source requirements.</t>
  </si>
  <si>
    <t>Template Slots / 8 Region</t>
  </si>
  <si>
    <t>Region for Template Slots: One typed region and fit contract inside a Template.</t>
  </si>
  <si>
    <t>I-T27-F08</t>
  </si>
  <si>
    <t>R-I-T27-F08</t>
  </si>
  <si>
    <t>T27-F08</t>
  </si>
  <si>
    <t>📄🕳️ Template Slots; Field 8; owning artifact and its source requirements.</t>
  </si>
  <si>
    <t>Region for Template Slots: One typed region and fit contract inside a Template. Enter a literal value; preserve distinction between blank and zero.</t>
  </si>
  <si>
    <t>Enter project-specific region.</t>
  </si>
  <si>
    <t>Template Slots / 9 Presence</t>
  </si>
  <si>
    <t>Presence for Template Slots: One typed region and fit contract inside a Template.</t>
  </si>
  <si>
    <t>I-T27-F09</t>
  </si>
  <si>
    <t>R-I-T27-F09</t>
  </si>
  <si>
    <t>T27-F09</t>
  </si>
  <si>
    <t>📄🕳️ Template Slots; Field 9; owning artifact and its source requirements.</t>
  </si>
  <si>
    <t>Presence for Template Slots: One typed region and fit contract inside a Template. Use exactly one listed allowed value.</t>
  </si>
  <si>
    <t>REQUIRED</t>
  </si>
  <si>
    <t>Template Slots / 10 Geometry</t>
  </si>
  <si>
    <t>Geometry for Template Slots: One typed region and fit contract inside a Template.</t>
  </si>
  <si>
    <t>I-T27-F10</t>
  </si>
  <si>
    <t>R-I-T27-F10</t>
  </si>
  <si>
    <t>T27-F10</t>
  </si>
  <si>
    <t>📄🕳️ Template Slots; Field 10; owning artifact and its source requirements.</t>
  </si>
  <si>
    <t>Geometry for Template Slots: One typed region and fit contract inside a Template. Enter a literal value; preserve distinction between blank and zero.</t>
  </si>
  <si>
    <t>Enter project-specific geometry.</t>
  </si>
  <si>
    <t>Template Slots / 11 Style Instructions</t>
  </si>
  <si>
    <t>Style Instructions for Template Slots: One typed region and fit contract inside a Template.</t>
  </si>
  <si>
    <t>I-T27-F11</t>
  </si>
  <si>
    <t>R-I-T27-F11</t>
  </si>
  <si>
    <t>T27-F11</t>
  </si>
  <si>
    <t>📄🕳️ Template Slots; Field 11; owning artifact and its source requirements.</t>
  </si>
  <si>
    <t>Style Instructions for Template Slots: One typed region and fit contract inside a Template. Enter a literal value; preserve distinction between blank and zero.</t>
  </si>
  <si>
    <t>Enter project-specific style instructions.</t>
  </si>
  <si>
    <t>Template Slots / 12 Overflow Rule</t>
  </si>
  <si>
    <t>Overflow Rule for Template Slots: One typed region and fit contract inside a Template.</t>
  </si>
  <si>
    <t>I-T27-F12</t>
  </si>
  <si>
    <t>R-I-T27-F12</t>
  </si>
  <si>
    <t>T27-F12</t>
  </si>
  <si>
    <t>📄🕳️ Template Slots; Field 12; owning artifact and its source requirements.</t>
  </si>
  <si>
    <t>Overflow Rule for Template Slots: One typed region and fit contract inside a Template. Enter a literal value; preserve distinction between blank and zero.</t>
  </si>
  <si>
    <t>Enter project-specific overflow rule.</t>
  </si>
  <si>
    <t>Template Slots / 13 Allowed File Types</t>
  </si>
  <si>
    <t>Allowed File Types for Template Slots: One typed region and fit contract inside a Template.</t>
  </si>
  <si>
    <t>I-T27-F13</t>
  </si>
  <si>
    <t>R-I-T27-F13</t>
  </si>
  <si>
    <t>T27-F13</t>
  </si>
  <si>
    <t>📄🕳️ Template Slots; Field 13; owning artifact and its source requirements.</t>
  </si>
  <si>
    <t>Allowed File Types for Template Slots: One typed region and fit contract inside a Template. Enter a literal value; preserve distinction between blank and zero.</t>
  </si>
  <si>
    <t>Enter project-specific allowed file types.</t>
  </si>
  <si>
    <t>Rulesets use</t>
  </si>
  <si>
    <t>One ordered set of reusable behavioral Rules.</t>
  </si>
  <si>
    <t>I-T28</t>
  </si>
  <si>
    <t>R-I-T28</t>
  </si>
  <si>
    <t>T28</t>
  </si>
  <si>
    <t>Record Revisions; Rules</t>
  </si>
  <si>
    <t>Rulesets / 1 Name</t>
  </si>
  <si>
    <t>I-T28-F01</t>
  </si>
  <si>
    <t>R-I-T28-F01</t>
  </si>
  <si>
    <t>T28-F01</t>
  </si>
  <si>
    <t>📋⚙️ Rulesets; Field 1; owning artifact and its source requirements.</t>
  </si>
  <si>
    <t>Rulesets / 2 Description</t>
  </si>
  <si>
    <t>I-T28-F02</t>
  </si>
  <si>
    <t>R-I-T28-F02</t>
  </si>
  <si>
    <t>T28-F02</t>
  </si>
  <si>
    <t>📋⚙️ Rulesets; Field 2; owning artifact and its source requirements.</t>
  </si>
  <si>
    <t>Rulesets / 3 Record ID</t>
  </si>
  <si>
    <t>I-T28-F03</t>
  </si>
  <si>
    <t>R-I-T28-F03</t>
  </si>
  <si>
    <t>T28-F03</t>
  </si>
  <si>
    <t>📋⚙️ Rulesets; Field 3; owning artifact and its source requirements.</t>
  </si>
  <si>
    <t>Rulesets / 4 Revision</t>
  </si>
  <si>
    <t>I-T28-F04</t>
  </si>
  <si>
    <t>R-I-T28-F04</t>
  </si>
  <si>
    <t>T28-F04</t>
  </si>
  <si>
    <t>📋⚙️ Rulesets; Field 4; target Record Revisions Record ID column.</t>
  </si>
  <si>
    <t>Rulesets / 5 Rules</t>
  </si>
  <si>
    <t>Link to one or more exact records in Rules.</t>
  </si>
  <si>
    <t>I-T28-F05</t>
  </si>
  <si>
    <t>R-I-T28-F05</t>
  </si>
  <si>
    <t>T28-F05</t>
  </si>
  <si>
    <t>📋⚙️ Rulesets; Field 5; target Rules Record ID column.</t>
  </si>
  <si>
    <t>Link to one or more exact records in Rules. JSON array of unique target Record IDs; [] means no links.</t>
  </si>
  <si>
    <t>Open Rules in Reader using the stored target ID.</t>
  </si>
  <si>
    <t>Rulesets / 6 Conflict Policy</t>
  </si>
  <si>
    <t>Conflict Policy for Rulesets: One ordered set of reusable behavioral Rules.</t>
  </si>
  <si>
    <t>I-T28-F06</t>
  </si>
  <si>
    <t>R-I-T28-F06</t>
  </si>
  <si>
    <t>T28-F06</t>
  </si>
  <si>
    <t>📋⚙️ Rulesets; Field 6; owning artifact and its source requirements.</t>
  </si>
  <si>
    <t>Conflict Policy for Rulesets: One ordered set of reusable behavioral Rules. Enter a literal value; preserve distinction between blank and zero.</t>
  </si>
  <si>
    <t>Enter project-specific conflict policy.</t>
  </si>
  <si>
    <t>Rulesets / 7 Application Instructions</t>
  </si>
  <si>
    <t>Application Instructions for Rulesets: One ordered set of reusable behavioral Rules.</t>
  </si>
  <si>
    <t>I-T28-F07</t>
  </si>
  <si>
    <t>R-I-T28-F07</t>
  </si>
  <si>
    <t>T28-F07</t>
  </si>
  <si>
    <t>📋⚙️ Rulesets; Field 7; owning artifact and its source requirements.</t>
  </si>
  <si>
    <t>Application Instructions for Rulesets: One ordered set of reusable behavioral Rules. Enter a literal value; preserve distinction between blank and zero.</t>
  </si>
  <si>
    <t>Rules use</t>
  </si>
  <si>
    <t>One atomic constraint and its repair instruction.</t>
  </si>
  <si>
    <t>I-T29</t>
  </si>
  <si>
    <t>R-I-T29</t>
  </si>
  <si>
    <t>T29</t>
  </si>
  <si>
    <t>Rules / 1 Name</t>
  </si>
  <si>
    <t>I-T29-F01</t>
  </si>
  <si>
    <t>R-I-T29-F01</t>
  </si>
  <si>
    <t>T29-F01</t>
  </si>
  <si>
    <t>📏⚙️ Rules; Field 1; owning artifact and its source requirements.</t>
  </si>
  <si>
    <t>Rules / 2 Description</t>
  </si>
  <si>
    <t>I-T29-F02</t>
  </si>
  <si>
    <t>R-I-T29-F02</t>
  </si>
  <si>
    <t>T29-F02</t>
  </si>
  <si>
    <t>📏⚙️ Rules; Field 2; owning artifact and its source requirements.</t>
  </si>
  <si>
    <t>Rules / 3 Record ID</t>
  </si>
  <si>
    <t>I-T29-F03</t>
  </si>
  <si>
    <t>R-I-T29-F03</t>
  </si>
  <si>
    <t>T29-F03</t>
  </si>
  <si>
    <t>📏⚙️ Rules; Field 3; owning artifact and its source requirements.</t>
  </si>
  <si>
    <t>Rules / 4 Revision</t>
  </si>
  <si>
    <t>I-T29-F04</t>
  </si>
  <si>
    <t>R-I-T29-F04</t>
  </si>
  <si>
    <t>T29-F04</t>
  </si>
  <si>
    <t>📏⚙️ Rules; Field 4; target Record Revisions Record ID column.</t>
  </si>
  <si>
    <t>Rules / 5 Rule Kind</t>
  </si>
  <si>
    <t>Rule Kind for Rules: One atomic constraint and its repair instruction.</t>
  </si>
  <si>
    <t>I-T29-F05</t>
  </si>
  <si>
    <t>R-I-T29-F05</t>
  </si>
  <si>
    <t>T29-F05</t>
  </si>
  <si>
    <t>📏⚙️ Rules; Field 5; owning artifact and its source requirements.</t>
  </si>
  <si>
    <t>Rule Kind for Rules: One atomic constraint and its repair instruction. Use exactly one listed allowed value.</t>
  </si>
  <si>
    <t>RETRIEVAL</t>
  </si>
  <si>
    <t>Rules / 6 Condition</t>
  </si>
  <si>
    <t>Condition for Rules: One atomic constraint and its repair instruction.</t>
  </si>
  <si>
    <t>I-T29-F06</t>
  </si>
  <si>
    <t>R-I-T29-F06</t>
  </si>
  <si>
    <t>T29-F06</t>
  </si>
  <si>
    <t>📏⚙️ Rules; Field 6; owning artifact and its source requirements.</t>
  </si>
  <si>
    <t>Condition for Rules: One atomic constraint and its repair instruction. Enter a literal value; preserve distinction between blank and zero.</t>
  </si>
  <si>
    <t>Enter project-specific condition.</t>
  </si>
  <si>
    <t>Rules / 7 Requirement</t>
  </si>
  <si>
    <t>Requirement for Rules: One atomic constraint and its repair instruction.</t>
  </si>
  <si>
    <t>I-T29-F07</t>
  </si>
  <si>
    <t>R-I-T29-F07</t>
  </si>
  <si>
    <t>T29-F07</t>
  </si>
  <si>
    <t>📏⚙️ Rules; Field 7; owning artifact and its source requirements.</t>
  </si>
  <si>
    <t>Requirement for Rules: One atomic constraint and its repair instruction. Enter a literal value; preserve distinction between blank and zero.</t>
  </si>
  <si>
    <t>Enter project-specific requirement.</t>
  </si>
  <si>
    <t>Rules / 8 Exclusions</t>
  </si>
  <si>
    <t>Exclusions for Rules: One atomic constraint and its repair instruction.</t>
  </si>
  <si>
    <t>I-T29-F08</t>
  </si>
  <si>
    <t>R-I-T29-F08</t>
  </si>
  <si>
    <t>T29-F08</t>
  </si>
  <si>
    <t>📏⚙️ Rules; Field 8; owning artifact and its source requirements.</t>
  </si>
  <si>
    <t>Exclusions for Rules: One atomic constraint and its repair instruction. Enter a literal value; preserve distinction between blank and zero.</t>
  </si>
  <si>
    <t>Enter project-specific exclusions.</t>
  </si>
  <si>
    <t>Rules / 9 Priority</t>
  </si>
  <si>
    <t>Larger integer takes precedence. Unresolved same-priority conflict blocks the affected operation.</t>
  </si>
  <si>
    <t>I-T29-F09</t>
  </si>
  <si>
    <t>R-I-T29-F09</t>
  </si>
  <si>
    <t>T29-F09</t>
  </si>
  <si>
    <t>📏⚙️ Rules; Field 9; owning artifact and its source requirements.</t>
  </si>
  <si>
    <t>Larger integer takes precedence. Unresolved same-priority conflict blocks the affected operation. Integer value; order and revision fields positive; quantity and link minima may be zero.</t>
  </si>
  <si>
    <t>Rules / 10 Repair Instruction</t>
  </si>
  <si>
    <t>Repair Instruction for Rules: One atomic constraint and its repair instruction.</t>
  </si>
  <si>
    <t>I-T29-F10</t>
  </si>
  <si>
    <t>R-I-T29-F10</t>
  </si>
  <si>
    <t>T29-F10</t>
  </si>
  <si>
    <t>📏⚙️ Rules; Field 10; owning artifact and its source requirements.</t>
  </si>
  <si>
    <t>Repair Instruction for Rules: One atomic constraint and its repair instruction. Enter a literal value; preserve distinction between blank and zero.</t>
  </si>
  <si>
    <t>Enter project-specific repair instruction.</t>
  </si>
  <si>
    <t>Rules / 11 Check Instruction</t>
  </si>
  <si>
    <t>I-T29-F11</t>
  </si>
  <si>
    <t>R-I-T29-F11</t>
  </si>
  <si>
    <t>T29-F11</t>
  </si>
  <si>
    <t>📏⚙️ Rules; Field 11; target Instructions Record ID column.</t>
  </si>
  <si>
    <t>Themes use</t>
  </si>
  <si>
    <t>One visual vocabulary with separate retrieval and generation channels.</t>
  </si>
  <si>
    <t>I-T30</t>
  </si>
  <si>
    <t>R-I-T30</t>
  </si>
  <si>
    <t>T30</t>
  </si>
  <si>
    <t>Themes / 1 Name</t>
  </si>
  <si>
    <t>I-T30-F01</t>
  </si>
  <si>
    <t>R-I-T30-F01</t>
  </si>
  <si>
    <t>T30-F01</t>
  </si>
  <si>
    <t>🎨🧬 Themes; Field 1; owning artifact and its source requirements.</t>
  </si>
  <si>
    <t>Themes / 2 Description</t>
  </si>
  <si>
    <t>I-T30-F02</t>
  </si>
  <si>
    <t>R-I-T30-F02</t>
  </si>
  <si>
    <t>T30-F02</t>
  </si>
  <si>
    <t>🎨🧬 Themes; Field 2; owning artifact and its source requirements.</t>
  </si>
  <si>
    <t>Themes / 3 Record ID</t>
  </si>
  <si>
    <t>I-T30-F03</t>
  </si>
  <si>
    <t>R-I-T30-F03</t>
  </si>
  <si>
    <t>T30-F03</t>
  </si>
  <si>
    <t>🎨🧬 Themes; Field 3; owning artifact and its source requirements.</t>
  </si>
  <si>
    <t>Themes / 4 Revision</t>
  </si>
  <si>
    <t>I-T30-F04</t>
  </si>
  <si>
    <t>R-I-T30-F04</t>
  </si>
  <si>
    <t>T30-F04</t>
  </si>
  <si>
    <t>🎨🧬 Themes; Field 4; target Record Revisions Record ID column.</t>
  </si>
  <si>
    <t>Themes / 5 Include</t>
  </si>
  <si>
    <t>Include for Themes: One visual vocabulary with separate retrieval and generation channels.</t>
  </si>
  <si>
    <t>I-T30-F05</t>
  </si>
  <si>
    <t>R-I-T30-F05</t>
  </si>
  <si>
    <t>T30-F05</t>
  </si>
  <si>
    <t>🎨🧬 Themes; Field 5; owning artifact and its source requirements.</t>
  </si>
  <si>
    <t>Include for Themes: One visual vocabulary with separate retrieval and generation channels. Enter a literal value; preserve distinction between blank and zero.</t>
  </si>
  <si>
    <t>Enter project-specific include.</t>
  </si>
  <si>
    <t>Themes / 6 Exclude</t>
  </si>
  <si>
    <t>Exclude for Themes: One visual vocabulary with separate retrieval and generation channels.</t>
  </si>
  <si>
    <t>I-T30-F06</t>
  </si>
  <si>
    <t>R-I-T30-F06</t>
  </si>
  <si>
    <t>T30-F06</t>
  </si>
  <si>
    <t>🎨🧬 Themes; Field 6; owning artifact and its source requirements.</t>
  </si>
  <si>
    <t>Exclude for Themes: One visual vocabulary with separate retrieval and generation channels. Enter a literal value; preserve distinction between blank and zero.</t>
  </si>
  <si>
    <t>Enter project-specific exclude.</t>
  </si>
  <si>
    <t>Themes / 7 Apply to Generation</t>
  </si>
  <si>
    <t>YES enables Added Details in generation readback. NO leaves retrieval Include and Exclude active but omits Added Details.</t>
  </si>
  <si>
    <t>I-T30-F07</t>
  </si>
  <si>
    <t>R-I-T30-F07</t>
  </si>
  <si>
    <t>T30-F07</t>
  </si>
  <si>
    <t>🎨🧬 Themes; Field 7; owning artifact and its source requirements.</t>
  </si>
  <si>
    <t>YES enables Added Details in generation readback. NO leaves retrieval Include and Exclude active but omits Added Details. Use exactly one listed allowed value.</t>
  </si>
  <si>
    <t>YES</t>
  </si>
  <si>
    <t>Themes / 8 Added Details</t>
  </si>
  <si>
    <t>Added Details for Themes: One visual vocabulary with separate retrieval and generation channels.</t>
  </si>
  <si>
    <t>I-T30-F08</t>
  </si>
  <si>
    <t>R-I-T30-F08</t>
  </si>
  <si>
    <t>T30-F08</t>
  </si>
  <si>
    <t>🎨🧬 Themes; Field 8; owning artifact and its source requirements.</t>
  </si>
  <si>
    <t>Added Details for Themes: One visual vocabulary with separate retrieval and generation channels. Enter a literal value; preserve distinction between blank and zero.</t>
  </si>
  <si>
    <t>Enter project-specific added details.</t>
  </si>
  <si>
    <t>Themes / 9 Visual Vocabulary</t>
  </si>
  <si>
    <t>Visual Vocabulary for Themes: One visual vocabulary with separate retrieval and generation channels.</t>
  </si>
  <si>
    <t>I-T30-F09</t>
  </si>
  <si>
    <t>R-I-T30-F09</t>
  </si>
  <si>
    <t>T30-F09</t>
  </si>
  <si>
    <t>🎨🧬 Themes; Field 9; owning artifact and its source requirements.</t>
  </si>
  <si>
    <t>Visual Vocabulary for Themes: One visual vocabulary with separate retrieval and generation channels. Enter a literal value; preserve distinction between blank and zero.</t>
  </si>
  <si>
    <t>Enter project-specific visual vocabulary.</t>
  </si>
  <si>
    <t>Themes / 10 Conflict Policy</t>
  </si>
  <si>
    <t>Conflict Policy for Themes: One visual vocabulary with separate retrieval and generation channels.</t>
  </si>
  <si>
    <t>I-T30-F10</t>
  </si>
  <si>
    <t>R-I-T30-F10</t>
  </si>
  <si>
    <t>T30-F10</t>
  </si>
  <si>
    <t>🎨🧬 Themes; Field 10; owning artifact and its source requirements.</t>
  </si>
  <si>
    <t>Conflict Policy for Themes: One visual vocabulary with separate retrieval and generation channels. Enter a literal value; preserve distinction between blank and zero.</t>
  </si>
  <si>
    <t>Assembly Components use</t>
  </si>
  <si>
    <t>One component use in an assembly, including reversible transforms.</t>
  </si>
  <si>
    <t>I-T31</t>
  </si>
  <si>
    <t>R-I-T31</t>
  </si>
  <si>
    <t>T31</t>
  </si>
  <si>
    <t>Record Revisions; File Revisions; File Revisions</t>
  </si>
  <si>
    <t>Assembly Components / 1 Name</t>
  </si>
  <si>
    <t>I-T31-F01</t>
  </si>
  <si>
    <t>R-I-T31-F01</t>
  </si>
  <si>
    <t>T31-F01</t>
  </si>
  <si>
    <t>🧩📐 Assembly Components; Field 1; owning artifact and its source requirements.</t>
  </si>
  <si>
    <t>Assembly Components / 2 Description</t>
  </si>
  <si>
    <t>I-T31-F02</t>
  </si>
  <si>
    <t>R-I-T31-F02</t>
  </si>
  <si>
    <t>T31-F02</t>
  </si>
  <si>
    <t>🧩📐 Assembly Components; Field 2; owning artifact and its source requirements.</t>
  </si>
  <si>
    <t>Assembly Components / 3 Record ID</t>
  </si>
  <si>
    <t>I-T31-F03</t>
  </si>
  <si>
    <t>R-I-T31-F03</t>
  </si>
  <si>
    <t>T31-F03</t>
  </si>
  <si>
    <t>🧩📐 Assembly Components; Field 3; owning artifact and its source requirements.</t>
  </si>
  <si>
    <t>Assembly Components / 4 Revision</t>
  </si>
  <si>
    <t>I-T31-F04</t>
  </si>
  <si>
    <t>R-I-T31-F04</t>
  </si>
  <si>
    <t>T31-F04</t>
  </si>
  <si>
    <t>🧩📐 Assembly Components; Field 4; target Record Revisions Record ID column.</t>
  </si>
  <si>
    <t>Assembly Components / 5 Assembly File</t>
  </si>
  <si>
    <t>I-T31-F05</t>
  </si>
  <si>
    <t>R-I-T31-F05</t>
  </si>
  <si>
    <t>T31-F05</t>
  </si>
  <si>
    <t>🧩📐 Assembly Components; Field 5; target File Revisions Record ID column.</t>
  </si>
  <si>
    <t>Assembly Components / 6 Component File</t>
  </si>
  <si>
    <t>I-T31-F06</t>
  </si>
  <si>
    <t>R-I-T31-F06</t>
  </si>
  <si>
    <t>T31-F06</t>
  </si>
  <si>
    <t>🧩📐 Assembly Components; Field 6; target File Revisions Record ID column.</t>
  </si>
  <si>
    <t>Assembly Components / 7 Usage Role</t>
  </si>
  <si>
    <t>Usage Role for Assembly Components: One component use in an assembly, including reversible transforms.</t>
  </si>
  <si>
    <t>I-T31-F07</t>
  </si>
  <si>
    <t>R-I-T31-F07</t>
  </si>
  <si>
    <t>T31-F07</t>
  </si>
  <si>
    <t>🧩📐 Assembly Components; Field 7; owning artifact and its source requirements.</t>
  </si>
  <si>
    <t>Usage Role for Assembly Components: One component use in an assembly, including reversible transforms. Enter a literal value; preserve distinction between blank and zero.</t>
  </si>
  <si>
    <t>Assembly Components / 8 Layer Order</t>
  </si>
  <si>
    <t>Layer Order for Assembly Components: One component use in an assembly, including reversible transforms.</t>
  </si>
  <si>
    <t>I-T31-F08</t>
  </si>
  <si>
    <t>R-I-T31-F08</t>
  </si>
  <si>
    <t>T31-F08</t>
  </si>
  <si>
    <t>🧩📐 Assembly Components; Field 8; owning artifact and its source requirements.</t>
  </si>
  <si>
    <t>Layer Order for Assembly Components: One component use in an assembly, including reversible transforms. Integer value; order and revision fields positive; quantity and link minima may be zero.</t>
  </si>
  <si>
    <t>Assembly Components / 9 Transform JSON</t>
  </si>
  <si>
    <t>JSON object: x/y in declared units; scaleX/scaleY numeric; rotationDeg numeric; opacity from 0 to 1. Preserve zero. Reversible placement does not create an asset identity.</t>
  </si>
  <si>
    <t>I-T31-F09</t>
  </si>
  <si>
    <t>R-I-T31-F09</t>
  </si>
  <si>
    <t>T31-F09</t>
  </si>
  <si>
    <t>🧩📐 Assembly Components; Field 9; owning artifact and its source requirements.</t>
  </si>
  <si>
    <t>JSON object: x/y in declared units; scaleX/scaleY numeric; rotationDeg numeric; opacity from 0 to 1. Preserve zero. Reversible placement does not create an asset identity. Enter a literal value; preserve distinction between blank and zero.</t>
  </si>
  <si>
    <t>Enter project-specific transform json.</t>
  </si>
  <si>
    <t>Assembly Components / 10 Coordinate Convention</t>
  </si>
  <si>
    <t>Declare origin, positive axes, units, rotation direction, and pivot before interpreting Transform JSON.</t>
  </si>
  <si>
    <t>I-T31-F10</t>
  </si>
  <si>
    <t>R-I-T31-F10</t>
  </si>
  <si>
    <t>T31-F10</t>
  </si>
  <si>
    <t>🧩📐 Assembly Components; Field 10; owning artifact and its source requirements.</t>
  </si>
  <si>
    <t>Declare origin, positive axes, units, rotation direction, and pivot before interpreting Transform JSON. Enter a literal value; preserve distinction between blank and zero.</t>
  </si>
  <si>
    <t>Enter project-specific coordinate convention.</t>
  </si>
  <si>
    <t>Assembly Components / 11 Blend Rule</t>
  </si>
  <si>
    <t>Blend Rule for Assembly Components: One component use in an assembly, including reversible transforms.</t>
  </si>
  <si>
    <t>I-T31-F11</t>
  </si>
  <si>
    <t>R-I-T31-F11</t>
  </si>
  <si>
    <t>T31-F11</t>
  </si>
  <si>
    <t>🧩📐 Assembly Components; Field 11; owning artifact and its source requirements.</t>
  </si>
  <si>
    <t>Blend Rule for Assembly Components: One component use in an assembly, including reversible transforms. Enter a literal value; preserve distinction between blank and zero.</t>
  </si>
  <si>
    <t>Enter project-specific blend rule.</t>
  </si>
  <si>
    <t>Assembly Components / 12 Identity Treatment</t>
  </si>
  <si>
    <t>Identity Treatment for Assembly Components: One component use in an assembly, including reversible transforms.</t>
  </si>
  <si>
    <t>I-T31-F12</t>
  </si>
  <si>
    <t>R-I-T31-F12</t>
  </si>
  <si>
    <t>T31-F12</t>
  </si>
  <si>
    <t>🧩📐 Assembly Components; Field 12; owning artifact and its source requirements.</t>
  </si>
  <si>
    <t>Identity Treatment for Assembly Components: One component use in an assembly, including reversible transforms. Use exactly one listed allowed value.</t>
  </si>
  <si>
    <t>PLACEMENT</t>
  </si>
  <si>
    <t>Assembly Components / 13 Build Instructions</t>
  </si>
  <si>
    <t>Build Instructions for Assembly Components: One component use in an assembly, including reversible transforms.</t>
  </si>
  <si>
    <t>I-T31-F13</t>
  </si>
  <si>
    <t>R-I-T31-F13</t>
  </si>
  <si>
    <t>T31-F13</t>
  </si>
  <si>
    <t>🧩📐 Assembly Components; Field 13; owning artifact and its source requirements.</t>
  </si>
  <si>
    <t>Build Instructions for Assembly Components: One component use in an assembly, including reversible transforms. Enter a literal value; preserve distinction between blank and zero.</t>
  </si>
  <si>
    <t>Enter project-specific build instructions.</t>
  </si>
  <si>
    <t>Assembly Components / 14 Component State</t>
  </si>
  <si>
    <t>Component State for Assembly Components: One component use in an assembly, including reversible transforms.</t>
  </si>
  <si>
    <t>I-T31-F14</t>
  </si>
  <si>
    <t>R-I-T31-F14</t>
  </si>
  <si>
    <t>T31-F14</t>
  </si>
  <si>
    <t>🧩📐 Assembly Components; Field 14; owning artifact and its source requirements.</t>
  </si>
  <si>
    <t>Component State for Assembly Components: One component use in an assembly, including reversible transforms. Use exactly one listed allowed value.</t>
  </si>
  <si>
    <t>PLANNED</t>
  </si>
  <si>
    <t>Assembly Components / 15 Readiness</t>
  </si>
  <si>
    <t>Derived local component eligibility: both file references resolve, Component State is AVAILABLE, and component File Availability is AVAILABLE. Recursive graph ordering still requires traversal.</t>
  </si>
  <si>
    <t>I-T31-F15</t>
  </si>
  <si>
    <t>R-I-T31-F15</t>
  </si>
  <si>
    <t>T31-F15</t>
  </si>
  <si>
    <t>🧩📐 Assembly Components; Field 15; owning artifact and its source requirements.</t>
  </si>
  <si>
    <t>Derived local component eligibility: both file references resolve, Component State is AVAILABLE, and component File Availability is AVAILABLE. Recursive graph ordering still requires traversal. Enter a literal value; preserve distinction between blank and zero.</t>
  </si>
  <si>
    <t>Enter project-specific readiness.</t>
  </si>
  <si>
    <t>Generation Requests use</t>
  </si>
  <si>
    <t>One generation instruction, its exact source revisions, and resulting files.</t>
  </si>
  <si>
    <t>I-T32</t>
  </si>
  <si>
    <t>R-I-T32</t>
  </si>
  <si>
    <t>T32</t>
  </si>
  <si>
    <t>Record Revisions; Projects; Asset Requirements; Rulesets; Themes; Record Revisions; File Revisions</t>
  </si>
  <si>
    <t>Generation Requests / 1 Name</t>
  </si>
  <si>
    <t>I-T32-F01</t>
  </si>
  <si>
    <t>R-I-T32-F01</t>
  </si>
  <si>
    <t>T32-F01</t>
  </si>
  <si>
    <t>✨📋 Generation Requests; Field 1; owning artifact and its source requirements.</t>
  </si>
  <si>
    <t>Generation Requests / 2 Description</t>
  </si>
  <si>
    <t>I-T32-F02</t>
  </si>
  <si>
    <t>R-I-T32-F02</t>
  </si>
  <si>
    <t>T32-F02</t>
  </si>
  <si>
    <t>✨📋 Generation Requests; Field 2; owning artifact and its source requirements.</t>
  </si>
  <si>
    <t>Generation Requests / 3 Record ID</t>
  </si>
  <si>
    <t>I-T32-F03</t>
  </si>
  <si>
    <t>R-I-T32-F03</t>
  </si>
  <si>
    <t>T32-F03</t>
  </si>
  <si>
    <t>✨📋 Generation Requests; Field 3; owning artifact and its source requirements.</t>
  </si>
  <si>
    <t>Generation Requests / 4 Revision</t>
  </si>
  <si>
    <t>I-T32-F04</t>
  </si>
  <si>
    <t>R-I-T32-F04</t>
  </si>
  <si>
    <t>T32-F04</t>
  </si>
  <si>
    <t>✨📋 Generation Requests; Field 4; target Record Revisions Record ID column.</t>
  </si>
  <si>
    <t>Generation Requests / 5 Project</t>
  </si>
  <si>
    <t>I-T32-F05</t>
  </si>
  <si>
    <t>R-I-T32-F05</t>
  </si>
  <si>
    <t>T32-F05</t>
  </si>
  <si>
    <t>✨📋 Generation Requests; Field 5; target Projects Record ID column.</t>
  </si>
  <si>
    <t>Generation Requests / 6 Asset Requirement</t>
  </si>
  <si>
    <t>I-T32-F06</t>
  </si>
  <si>
    <t>R-I-T32-F06</t>
  </si>
  <si>
    <t>T32-F06</t>
  </si>
  <si>
    <t>✨📋 Generation Requests; Field 6; target Asset Requirements Record ID column.</t>
  </si>
  <si>
    <t>Generation Requests / 7 Ruleset</t>
  </si>
  <si>
    <t>I-T32-F07</t>
  </si>
  <si>
    <t>R-I-T32-F07</t>
  </si>
  <si>
    <t>T32-F07</t>
  </si>
  <si>
    <t>✨📋 Generation Requests; Field 7; target Rulesets Record ID column.</t>
  </si>
  <si>
    <t>Generation Requests / 8 Theme</t>
  </si>
  <si>
    <t>I-T32-F08</t>
  </si>
  <si>
    <t>R-I-T32-F08</t>
  </si>
  <si>
    <t>T32-F08</t>
  </si>
  <si>
    <t>✨📋 Generation Requests; Field 8; target Themes Record ID column.</t>
  </si>
  <si>
    <t>Generation Requests / 9 Local Requirement</t>
  </si>
  <si>
    <t>Local Requirement for Generation Requests: One generation instruction, its exact source revisions, and resulting files.</t>
  </si>
  <si>
    <t>I-T32-F09</t>
  </si>
  <si>
    <t>R-I-T32-F09</t>
  </si>
  <si>
    <t>T32-F09</t>
  </si>
  <si>
    <t>✨📋 Generation Requests; Field 9; owning artifact and its source requirements.</t>
  </si>
  <si>
    <t>Local Requirement for Generation Requests: One generation instruction, its exact source revisions, and resulting files. Enter a literal value; preserve distinction between blank and zero.</t>
  </si>
  <si>
    <t>Enter project-specific local requirement.</t>
  </si>
  <si>
    <t>Generation Requests / 10 Compiled Readback</t>
  </si>
  <si>
    <t>Exact instruction assembled from Local Requirement, ordered applicable Rules, exclusions, and enabled Theme Added Details. Recompute after source changes. No human gate in sandbox.</t>
  </si>
  <si>
    <t>I-T32-F10</t>
  </si>
  <si>
    <t>R-I-T32-F10</t>
  </si>
  <si>
    <t>T32-F10</t>
  </si>
  <si>
    <t>✨📋 Generation Requests; Field 10; owning artifact and its source requirements.</t>
  </si>
  <si>
    <t>Exact instruction assembled from Local Requirement, ordered applicable Rules, exclusions, and enabled Theme Added Details. Recompute after source changes. No human gate in sandbox. Enter a literal value; preserve distinction between blank and zero.</t>
  </si>
  <si>
    <t>Enter project-specific compiled readback.</t>
  </si>
  <si>
    <t>Generation Requests / 11 Readback Sources</t>
  </si>
  <si>
    <t>Exact contributing record revisions. Capture Rules individually as well as Ruleset, Theme, and requirement. Keep retrieval Include labels out of prompt text.</t>
  </si>
  <si>
    <t>I-T32-F11</t>
  </si>
  <si>
    <t>R-I-T32-F11</t>
  </si>
  <si>
    <t>T32-F11</t>
  </si>
  <si>
    <t>✨📋 Generation Requests; Field 11; target Record Revisions Record ID column.</t>
  </si>
  <si>
    <t>Exact contributing record revisions. Capture Rules individually as well as Ruleset, Theme, and requirement. Keep retrieval Include labels out of prompt text. JSON array of unique target Record IDs; [] means no links.</t>
  </si>
  <si>
    <t>Generation Requests / 12 Execution State</t>
  </si>
  <si>
    <t>Execution State for Generation Requests: One generation instruction, its exact source revisions, and resulting files.</t>
  </si>
  <si>
    <t>I-T32-F12</t>
  </si>
  <si>
    <t>R-I-T32-F12</t>
  </si>
  <si>
    <t>T32-F12</t>
  </si>
  <si>
    <t>✨📋 Generation Requests; Field 12; owning artifact and its source requirements.</t>
  </si>
  <si>
    <t>Execution State for Generation Requests: One generation instruction, its exact source revisions, and resulting files. Use exactly one listed allowed value.</t>
  </si>
  <si>
    <t>Generation Requests / 13 Result Files</t>
  </si>
  <si>
    <t>I-T32-F13</t>
  </si>
  <si>
    <t>R-I-T32-F13</t>
  </si>
  <si>
    <t>T32-F13</t>
  </si>
  <si>
    <t>✨📋 Generation Requests; Field 13; target File Revisions Record ID column.</t>
  </si>
  <si>
    <t>Generation Requests / 14 Repair Notes</t>
  </si>
  <si>
    <t>Repair Notes for Generation Requests: One generation instruction, its exact source revisions, and resulting files.</t>
  </si>
  <si>
    <t>I-T32-F14</t>
  </si>
  <si>
    <t>R-I-T32-F14</t>
  </si>
  <si>
    <t>T32-F14</t>
  </si>
  <si>
    <t>✨📋 Generation Requests; Field 14; owning artifact and its source requirements.</t>
  </si>
  <si>
    <t>Repair Notes for Generation Requests: One generation instruction, its exact source revisions, and resulting files. Enter a literal value; preserve distinction between blank and zero.</t>
  </si>
  <si>
    <t>Enter project-specific repair notes.</t>
  </si>
  <si>
    <t>Asset Lifecycle use</t>
  </si>
  <si>
    <t>One explicit retention or promotion event; recording it does not copy files.</t>
  </si>
  <si>
    <t>I-T33</t>
  </si>
  <si>
    <t>R-I-T33</t>
  </si>
  <si>
    <t>T33</t>
  </si>
  <si>
    <t>Projects; File Revisions; Asset Lifecycle</t>
  </si>
  <si>
    <t>Asset Lifecycle / 1 Name</t>
  </si>
  <si>
    <t>I-T33-F01</t>
  </si>
  <si>
    <t>R-I-T33-F01</t>
  </si>
  <si>
    <t>T33-F01</t>
  </si>
  <si>
    <t>📦♻️ Asset Lifecycle; Field 1; owning artifact and its source requirements.</t>
  </si>
  <si>
    <t>Asset Lifecycle / 2 Description</t>
  </si>
  <si>
    <t>I-T33-F02</t>
  </si>
  <si>
    <t>R-I-T33-F02</t>
  </si>
  <si>
    <t>T33-F02</t>
  </si>
  <si>
    <t>📦♻️ Asset Lifecycle; Field 2; owning artifact and its source requirements.</t>
  </si>
  <si>
    <t>Asset Lifecycle / 3 Record ID</t>
  </si>
  <si>
    <t>I-T33-F03</t>
  </si>
  <si>
    <t>R-I-T33-F03</t>
  </si>
  <si>
    <t>T33-F03</t>
  </si>
  <si>
    <t>📦♻️ Asset Lifecycle; Field 3; owning artifact and its source requirements.</t>
  </si>
  <si>
    <t>Asset Lifecycle / 4 Project</t>
  </si>
  <si>
    <t>I-T33-F04</t>
  </si>
  <si>
    <t>R-I-T33-F04</t>
  </si>
  <si>
    <t>T33-F04</t>
  </si>
  <si>
    <t>📦♻️ Asset Lifecycle; Field 4; target Projects Record ID column.</t>
  </si>
  <si>
    <t>Asset Lifecycle / 5 File Revision</t>
  </si>
  <si>
    <t>I-T33-F05</t>
  </si>
  <si>
    <t>R-I-T33-F05</t>
  </si>
  <si>
    <t>T33-F05</t>
  </si>
  <si>
    <t>📦♻️ Asset Lifecycle; Field 5; target File Revisions Record ID column.</t>
  </si>
  <si>
    <t>Asset Lifecycle / 6 Disposition</t>
  </si>
  <si>
    <t>Disposition for Asset Lifecycle: One explicit retention or promotion event; recording it does not copy files.</t>
  </si>
  <si>
    <t>I-T33-F06</t>
  </si>
  <si>
    <t>R-I-T33-F06</t>
  </si>
  <si>
    <t>T33-F06</t>
  </si>
  <si>
    <t>📦♻️ Asset Lifecycle; Field 6; owning artifact and its source requirements.</t>
  </si>
  <si>
    <t>Disposition for Asset Lifecycle: One explicit retention or promotion event; recording it does not copy files. Use exactly one listed allowed value.</t>
  </si>
  <si>
    <t>PROJECT ONLY</t>
  </si>
  <si>
    <t>Asset Lifecycle / 7 Reason</t>
  </si>
  <si>
    <t>Reason for Asset Lifecycle: One explicit retention or promotion event; recording it does not copy files.</t>
  </si>
  <si>
    <t>I-T33-F07</t>
  </si>
  <si>
    <t>R-I-T33-F07</t>
  </si>
  <si>
    <t>T33-F07</t>
  </si>
  <si>
    <t>📦♻️ Asset Lifecycle; Field 7; owning artifact and its source requirements.</t>
  </si>
  <si>
    <t>Reason for Asset Lifecycle: One explicit retention or promotion event; recording it does not copy files. Enter a literal value; preserve distinction between blank and zero.</t>
  </si>
  <si>
    <t>Enter project-specific reason.</t>
  </si>
  <si>
    <t>Asset Lifecycle / 8 Destination</t>
  </si>
  <si>
    <t>Destination for Asset Lifecycle: One explicit retention or promotion event; recording it does not copy files.</t>
  </si>
  <si>
    <t>I-T33-F08</t>
  </si>
  <si>
    <t>R-I-T33-F08</t>
  </si>
  <si>
    <t>T33-F08</t>
  </si>
  <si>
    <t>📦♻️ Asset Lifecycle; Field 8; owning artifact and its source requirements.</t>
  </si>
  <si>
    <t>Destination for Asset Lifecycle: One explicit retention or promotion event; recording it does not copy files. Enter a literal value; preserve distinction between blank and zero.</t>
  </si>
  <si>
    <t>Enter project-specific destination.</t>
  </si>
  <si>
    <t>Asset Lifecycle / 9 Persistent Identity</t>
  </si>
  <si>
    <t>Identity returned after actual promotion. Leave blank for candidates; a lifecycle record does not perform promotion.</t>
  </si>
  <si>
    <t>I-T33-F09</t>
  </si>
  <si>
    <t>R-I-T33-F09</t>
  </si>
  <si>
    <t>T33-F09</t>
  </si>
  <si>
    <t>📦♻️ Asset Lifecycle; Field 9; owning artifact and its source requirements.</t>
  </si>
  <si>
    <t>Identity returned after actual promotion. Leave blank for candidates; a lifecycle record does not perform promotion. Enter a literal value; preserve distinction between blank and zero.</t>
  </si>
  <si>
    <t>Enter project-specific persistent identity.</t>
  </si>
  <si>
    <t>Asset Lifecycle / 10 Previous Event</t>
  </si>
  <si>
    <t>Link to one exact record in Asset Lifecycle.</t>
  </si>
  <si>
    <t>I-T33-F10</t>
  </si>
  <si>
    <t>R-I-T33-F10</t>
  </si>
  <si>
    <t>T33-F10</t>
  </si>
  <si>
    <t>📦♻️ Asset Lifecycle; Field 10; target Asset Lifecycle Record ID column.</t>
  </si>
  <si>
    <t>Link to one exact record in Asset Lifecycle. Exact existing target Record ID; no labels or comma-separated lists.</t>
  </si>
  <si>
    <t>Open Asset Lifecycle in Reader using the stored target ID.</t>
  </si>
  <si>
    <t>STRUCTURAL verification</t>
  </si>
  <si>
    <t>Read local bytes and compute SHA-256; compare with File Revision.</t>
  </si>
  <si>
    <t>CHECK-HASH</t>
  </si>
  <si>
    <t>R-CHECK-HASH</t>
  </si>
  <si>
    <t>OPERATION</t>
  </si>
  <si>
    <t>Target revision and all governing requirements.</t>
  </si>
  <si>
    <t>When this check is assigned to an output.</t>
  </si>
  <si>
    <t>Hash and byte size exactly match.</t>
  </si>
  <si>
    <t>Record expected and observed results separately.</t>
  </si>
  <si>
    <t>PASS: review output. FAIL or BLOCKED: create Issue and route to owning Pass.</t>
  </si>
  <si>
    <t>LINK verification</t>
  </si>
  <si>
    <t>Resolve all scalar and JSON-array links, payload back-links, and unique IDs.</t>
  </si>
  <si>
    <t>CHECK-LINK</t>
  </si>
  <si>
    <t>R-CHECK-LINK</t>
  </si>
  <si>
    <t>Every populated reference resolves exactly once; reciprocal payload pointers agree.</t>
  </si>
  <si>
    <t>SEMANTIC verification</t>
  </si>
  <si>
    <t>Compare output against Must Show, Must Not Imply, and supported source rules.</t>
  </si>
  <si>
    <t>CHECK-SEM</t>
  </si>
  <si>
    <t>R-CHECK-SEM</t>
  </si>
  <si>
    <t>Every required statement is supported and all declared boundaries are preserved.</t>
  </si>
  <si>
    <t>VISUAL verification</t>
  </si>
  <si>
    <t>Render the actual output and inspect text, clipping, encodings, and layout.</t>
  </si>
  <si>
    <t>CHECK-VIS</t>
  </si>
  <si>
    <t>R-CHECK-VIS</t>
  </si>
  <si>
    <t>Labels readable; nothing clipped; visual encoding matches the contract.</t>
  </si>
  <si>
    <t>CLONE verification</t>
  </si>
  <si>
    <t>Open starter; confirm definitions remain and approvals, checks, and worked example records are absent.</t>
  </si>
  <si>
    <t>CHECK-CLONE</t>
  </si>
  <si>
    <t>R-CHECK-CLONE</t>
  </si>
  <si>
    <t>No worked-example approvals or completed checks survive.</t>
  </si>
  <si>
    <t>🧩🔢 Record Revisions</t>
  </si>
  <si>
    <t>4 — Artifact ID</t>
  </si>
  <si>
    <t>5 — Revision Number</t>
  </si>
  <si>
    <t>6 — Project</t>
  </si>
  <si>
    <t>7 — Payload Table</t>
  </si>
  <si>
    <t>8 — Payload Record ID</t>
  </si>
  <si>
    <t>9 — Previous Revision</t>
  </si>
  <si>
    <t>10 — Producing Run</t>
  </si>
  <si>
    <t>11 — Change Summary</t>
  </si>
  <si>
    <t>12 — Evidence Origin</t>
  </si>
  <si>
    <t>13 — Clone Treatment</t>
  </si>
  <si>
    <t>f04_artifact_id</t>
  </si>
  <si>
    <t>f05_revision_number</t>
  </si>
  <si>
    <t>f06_project</t>
  </si>
  <si>
    <t>f07_payload_table</t>
  </si>
  <si>
    <t>f08_payload_record_id</t>
  </si>
  <si>
    <t>f09_previous_revision</t>
  </si>
  <si>
    <t>f10_producing_run</t>
  </si>
  <si>
    <t>f11_change_summary</t>
  </si>
  <si>
    <t>f12_evidence_origin</t>
  </si>
  <si>
    <t>f13_clone_treatment</t>
  </si>
  <si>
    <t>A-I-T01</t>
  </si>
  <si>
    <t>Initial registered revision.</t>
  </si>
  <si>
    <t>A-I-T01-F01</t>
  </si>
  <si>
    <t>A-I-T01-F02</t>
  </si>
  <si>
    <t>A-I-T01-F03</t>
  </si>
  <si>
    <t>A-I-T01-F04</t>
  </si>
  <si>
    <t>A-I-T01-F05</t>
  </si>
  <si>
    <t>A-I-T01-F06</t>
  </si>
  <si>
    <t>A-I-T01-F07</t>
  </si>
  <si>
    <t>A-I-T01-F08</t>
  </si>
  <si>
    <t>A-I-T01-F09</t>
  </si>
  <si>
    <t>A-I-T01-F10</t>
  </si>
  <si>
    <t>A-I-T01-F11</t>
  </si>
  <si>
    <t>A-I-T01-F12</t>
  </si>
  <si>
    <t>A-I-T01-F13</t>
  </si>
  <si>
    <t>A-I-T01-F14</t>
  </si>
  <si>
    <t>A-I-T01-F15</t>
  </si>
  <si>
    <t>A-I-T02</t>
  </si>
  <si>
    <t>A-I-T02-F01</t>
  </si>
  <si>
    <t>A-I-T02-F02</t>
  </si>
  <si>
    <t>A-I-T02-F03</t>
  </si>
  <si>
    <t>A-I-T02-F04</t>
  </si>
  <si>
    <t>A-I-T02-F05</t>
  </si>
  <si>
    <t>A-I-T02-F06</t>
  </si>
  <si>
    <t>A-I-T02-F07</t>
  </si>
  <si>
    <t>A-I-T02-F08</t>
  </si>
  <si>
    <t>A-I-T02-F09</t>
  </si>
  <si>
    <t>A-I-T02-F10</t>
  </si>
  <si>
    <t>A-I-T02-F11</t>
  </si>
  <si>
    <t>A-I-T02-F12</t>
  </si>
  <si>
    <t>A-I-T03</t>
  </si>
  <si>
    <t>A-I-T03-F01</t>
  </si>
  <si>
    <t>A-I-T03-F02</t>
  </si>
  <si>
    <t>A-I-T03-F03</t>
  </si>
  <si>
    <t>A-I-T03-F04</t>
  </si>
  <si>
    <t>A-I-T03-F05</t>
  </si>
  <si>
    <t>A-I-T03-F06</t>
  </si>
  <si>
    <t>A-I-T03-F07</t>
  </si>
  <si>
    <t>A-I-T03-F08</t>
  </si>
  <si>
    <t>A-I-T03-F09</t>
  </si>
  <si>
    <t>A-I-T03-F10</t>
  </si>
  <si>
    <t>A-I-T03-F11</t>
  </si>
  <si>
    <t>A-I-T03-F12</t>
  </si>
  <si>
    <t>A-I-T03-F13</t>
  </si>
  <si>
    <t>A-I-T04</t>
  </si>
  <si>
    <t>A-I-T04-F01</t>
  </si>
  <si>
    <t>A-I-T04-F02</t>
  </si>
  <si>
    <t>A-I-T04-F03</t>
  </si>
  <si>
    <t>A-I-T04-F04</t>
  </si>
  <si>
    <t>A-I-T04-F05</t>
  </si>
  <si>
    <t>A-I-T04-F06</t>
  </si>
  <si>
    <t>A-I-T04-F07</t>
  </si>
  <si>
    <t>A-I-T04-F08</t>
  </si>
  <si>
    <t>A-I-T04-F09</t>
  </si>
  <si>
    <t>A-I-T04-F10</t>
  </si>
  <si>
    <t>A-I-T04-F11</t>
  </si>
  <si>
    <t>A-I-T04-F12</t>
  </si>
  <si>
    <t>A-I-T04-F13</t>
  </si>
  <si>
    <t>A-I-T05</t>
  </si>
  <si>
    <t>A-I-T05-F01</t>
  </si>
  <si>
    <t>A-I-T05-F02</t>
  </si>
  <si>
    <t>A-I-T05-F03</t>
  </si>
  <si>
    <t>A-I-T05-F04</t>
  </si>
  <si>
    <t>A-I-T05-F05</t>
  </si>
  <si>
    <t>A-I-T05-F06</t>
  </si>
  <si>
    <t>A-I-T05-F07</t>
  </si>
  <si>
    <t>A-I-T05-F08</t>
  </si>
  <si>
    <t>A-I-T05-F09</t>
  </si>
  <si>
    <t>A-I-T05-F10</t>
  </si>
  <si>
    <t>A-I-T05-F11</t>
  </si>
  <si>
    <t>A-I-T05-F12</t>
  </si>
  <si>
    <t>A-I-T05-F13</t>
  </si>
  <si>
    <t>A-I-T06</t>
  </si>
  <si>
    <t>A-I-T06-F01</t>
  </si>
  <si>
    <t>A-I-T06-F02</t>
  </si>
  <si>
    <t>A-I-T06-F03</t>
  </si>
  <si>
    <t>A-I-T06-F04</t>
  </si>
  <si>
    <t>A-I-T06-F05</t>
  </si>
  <si>
    <t>A-I-T06-F06</t>
  </si>
  <si>
    <t>A-I-T06-F07</t>
  </si>
  <si>
    <t>A-I-T06-F08</t>
  </si>
  <si>
    <t>A-I-T06-F09</t>
  </si>
  <si>
    <t>A-I-T06-F10</t>
  </si>
  <si>
    <t>A-I-T06-F11</t>
  </si>
  <si>
    <t>A-I-T07</t>
  </si>
  <si>
    <t>A-I-T07-F01</t>
  </si>
  <si>
    <t>A-I-T07-F02</t>
  </si>
  <si>
    <t>A-I-T07-F03</t>
  </si>
  <si>
    <t>A-I-T07-F04</t>
  </si>
  <si>
    <t>A-I-T07-F05</t>
  </si>
  <si>
    <t>A-I-T07-F06</t>
  </si>
  <si>
    <t>A-I-T07-F07</t>
  </si>
  <si>
    <t>A-I-T07-F08</t>
  </si>
  <si>
    <t>A-I-T07-F09</t>
  </si>
  <si>
    <t>A-I-T07-F10</t>
  </si>
  <si>
    <t>A-I-T07-F11</t>
  </si>
  <si>
    <t>A-I-T08</t>
  </si>
  <si>
    <t>A-I-T08-F01</t>
  </si>
  <si>
    <t>A-I-T08-F02</t>
  </si>
  <si>
    <t>A-I-T08-F03</t>
  </si>
  <si>
    <t>A-I-T08-F04</t>
  </si>
  <si>
    <t>A-I-T08-F05</t>
  </si>
  <si>
    <t>A-I-T08-F06</t>
  </si>
  <si>
    <t>A-I-T08-F07</t>
  </si>
  <si>
    <t>A-I-T08-F08</t>
  </si>
  <si>
    <t>A-I-T08-F09</t>
  </si>
  <si>
    <t>A-I-T08-F10</t>
  </si>
  <si>
    <t>A-I-T08-F11</t>
  </si>
  <si>
    <t>A-I-T09</t>
  </si>
  <si>
    <t>A-I-T09-F01</t>
  </si>
  <si>
    <t>A-I-T09-F02</t>
  </si>
  <si>
    <t>A-I-T09-F03</t>
  </si>
  <si>
    <t>A-I-T09-F04</t>
  </si>
  <si>
    <t>A-I-T09-F05</t>
  </si>
  <si>
    <t>A-I-T09-F06</t>
  </si>
  <si>
    <t>A-I-T09-F07</t>
  </si>
  <si>
    <t>A-I-T09-F08</t>
  </si>
  <si>
    <t>A-I-T09-F09</t>
  </si>
  <si>
    <t>A-I-T09-F10</t>
  </si>
  <si>
    <t>A-I-T09-F11</t>
  </si>
  <si>
    <t>A-I-T10</t>
  </si>
  <si>
    <t>A-I-T10-F01</t>
  </si>
  <si>
    <t>A-I-T10-F02</t>
  </si>
  <si>
    <t>A-I-T10-F03</t>
  </si>
  <si>
    <t>A-I-T10-F04</t>
  </si>
  <si>
    <t>A-I-T10-F05</t>
  </si>
  <si>
    <t>A-I-T10-F06</t>
  </si>
  <si>
    <t>A-I-T10-F07</t>
  </si>
  <si>
    <t>A-I-T10-F08</t>
  </si>
  <si>
    <t>A-I-T10-F09</t>
  </si>
  <si>
    <t>A-I-T10-F10</t>
  </si>
  <si>
    <t>A-I-T10-F11</t>
  </si>
  <si>
    <t>A-I-T10-F12</t>
  </si>
  <si>
    <t>A-I-T10-F13</t>
  </si>
  <si>
    <t>A-I-T11</t>
  </si>
  <si>
    <t>A-I-T11-F01</t>
  </si>
  <si>
    <t>A-I-T11-F02</t>
  </si>
  <si>
    <t>A-I-T11-F03</t>
  </si>
  <si>
    <t>A-I-T11-F04</t>
  </si>
  <si>
    <t>A-I-T11-F05</t>
  </si>
  <si>
    <t>A-I-T11-F06</t>
  </si>
  <si>
    <t>A-I-T11-F07</t>
  </si>
  <si>
    <t>A-I-T11-F08</t>
  </si>
  <si>
    <t>A-I-T11-F09</t>
  </si>
  <si>
    <t>A-I-T11-F10</t>
  </si>
  <si>
    <t>A-I-T11-F11</t>
  </si>
  <si>
    <t>A-I-T12</t>
  </si>
  <si>
    <t>A-I-T12-F01</t>
  </si>
  <si>
    <t>A-I-T12-F02</t>
  </si>
  <si>
    <t>A-I-T12-F03</t>
  </si>
  <si>
    <t>A-I-T12-F04</t>
  </si>
  <si>
    <t>A-I-T12-F05</t>
  </si>
  <si>
    <t>A-I-T12-F06</t>
  </si>
  <si>
    <t>A-I-T12-F07</t>
  </si>
  <si>
    <t>A-I-T12-F08</t>
  </si>
  <si>
    <t>A-I-T12-F09</t>
  </si>
  <si>
    <t>A-I-T12-F10</t>
  </si>
  <si>
    <t>A-I-T12-F11</t>
  </si>
  <si>
    <t>A-I-T12-F12</t>
  </si>
  <si>
    <t>A-I-T12-F13</t>
  </si>
  <si>
    <t>A-I-T12-F14</t>
  </si>
  <si>
    <t>A-I-T12-F15</t>
  </si>
  <si>
    <t>A-I-T13</t>
  </si>
  <si>
    <t>A-I-T13-F01</t>
  </si>
  <si>
    <t>A-I-T13-F02</t>
  </si>
  <si>
    <t>A-I-T13-F03</t>
  </si>
  <si>
    <t>A-I-T13-F04</t>
  </si>
  <si>
    <t>A-I-T13-F05</t>
  </si>
  <si>
    <t>A-I-T13-F06</t>
  </si>
  <si>
    <t>A-I-T13-F07</t>
  </si>
  <si>
    <t>A-I-T13-F08</t>
  </si>
  <si>
    <t>A-I-T13-F09</t>
  </si>
  <si>
    <t>A-I-T13-F10</t>
  </si>
  <si>
    <t>A-I-T13-F11</t>
  </si>
  <si>
    <t>A-I-T14</t>
  </si>
  <si>
    <t>A-I-T14-F01</t>
  </si>
  <si>
    <t>A-I-T14-F02</t>
  </si>
  <si>
    <t>A-I-T14-F03</t>
  </si>
  <si>
    <t>A-I-T14-F04</t>
  </si>
  <si>
    <t>A-I-T14-F05</t>
  </si>
  <si>
    <t>A-I-T14-F06</t>
  </si>
  <si>
    <t>A-I-T14-F07</t>
  </si>
  <si>
    <t>A-I-T14-F08</t>
  </si>
  <si>
    <t>A-I-T14-F09</t>
  </si>
  <si>
    <t>A-I-T14-F10</t>
  </si>
  <si>
    <t>A-I-T14-F11</t>
  </si>
  <si>
    <t>A-I-T14-F12</t>
  </si>
  <si>
    <t>A-I-T14-F13</t>
  </si>
  <si>
    <t>A-I-T15</t>
  </si>
  <si>
    <t>A-I-T15-F01</t>
  </si>
  <si>
    <t>A-I-T15-F02</t>
  </si>
  <si>
    <t>A-I-T15-F03</t>
  </si>
  <si>
    <t>A-I-T15-F04</t>
  </si>
  <si>
    <t>A-I-T15-F05</t>
  </si>
  <si>
    <t>A-I-T15-F06</t>
  </si>
  <si>
    <t>A-I-T15-F07</t>
  </si>
  <si>
    <t>A-I-T15-F08</t>
  </si>
  <si>
    <t>A-I-T15-F09</t>
  </si>
  <si>
    <t>A-I-T15-F10</t>
  </si>
  <si>
    <t>A-I-T15-F11</t>
  </si>
  <si>
    <t>A-I-T15-F12</t>
  </si>
  <si>
    <t>A-I-T15-F13</t>
  </si>
  <si>
    <t>A-I-T16</t>
  </si>
  <si>
    <t>A-I-T16-F01</t>
  </si>
  <si>
    <t>A-I-T16-F02</t>
  </si>
  <si>
    <t>A-I-T16-F03</t>
  </si>
  <si>
    <t>A-I-T16-F04</t>
  </si>
  <si>
    <t>A-I-T16-F05</t>
  </si>
  <si>
    <t>A-I-T16-F06</t>
  </si>
  <si>
    <t>A-I-T16-F07</t>
  </si>
  <si>
    <t>A-I-T16-F08</t>
  </si>
  <si>
    <t>A-I-T16-F09</t>
  </si>
  <si>
    <t>A-I-T16-F10</t>
  </si>
  <si>
    <t>A-I-T16-F11</t>
  </si>
  <si>
    <t>A-I-T16-F12</t>
  </si>
  <si>
    <t>A-I-T17</t>
  </si>
  <si>
    <t>A-I-T17-F01</t>
  </si>
  <si>
    <t>A-I-T17-F02</t>
  </si>
  <si>
    <t>A-I-T17-F03</t>
  </si>
  <si>
    <t>A-I-T17-F04</t>
  </si>
  <si>
    <t>A-I-T17-F05</t>
  </si>
  <si>
    <t>A-I-T17-F06</t>
  </si>
  <si>
    <t>A-I-T17-F07</t>
  </si>
  <si>
    <t>A-I-T17-F08</t>
  </si>
  <si>
    <t>A-I-T17-F09</t>
  </si>
  <si>
    <t>A-I-T17-F10</t>
  </si>
  <si>
    <t>A-I-T17-F11</t>
  </si>
  <si>
    <t>A-I-T17-F12</t>
  </si>
  <si>
    <t>A-I-T18</t>
  </si>
  <si>
    <t>A-I-T18-F01</t>
  </si>
  <si>
    <t>A-I-T18-F02</t>
  </si>
  <si>
    <t>A-I-T18-F03</t>
  </si>
  <si>
    <t>A-I-T18-F04</t>
  </si>
  <si>
    <t>A-I-T18-F05</t>
  </si>
  <si>
    <t>A-I-T18-F06</t>
  </si>
  <si>
    <t>A-I-T18-F07</t>
  </si>
  <si>
    <t>A-I-T18-F08</t>
  </si>
  <si>
    <t>A-I-T18-F09</t>
  </si>
  <si>
    <t>A-I-T18-F10</t>
  </si>
  <si>
    <t>A-I-T18-F11</t>
  </si>
  <si>
    <t>A-I-T18-F12</t>
  </si>
  <si>
    <t>A-I-T19</t>
  </si>
  <si>
    <t>A-I-T19-F01</t>
  </si>
  <si>
    <t>A-I-T19-F02</t>
  </si>
  <si>
    <t>A-I-T19-F03</t>
  </si>
  <si>
    <t>A-I-T19-F04</t>
  </si>
  <si>
    <t>A-I-T19-F05</t>
  </si>
  <si>
    <t>A-I-T19-F06</t>
  </si>
  <si>
    <t>A-I-T19-F07</t>
  </si>
  <si>
    <t>A-I-T19-F08</t>
  </si>
  <si>
    <t>A-I-T19-F09</t>
  </si>
  <si>
    <t>A-I-T19-F10</t>
  </si>
  <si>
    <t>A-I-T19-F11</t>
  </si>
  <si>
    <t>A-I-T19-F12</t>
  </si>
  <si>
    <t>A-I-T19-F13</t>
  </si>
  <si>
    <t>A-I-T19-F14</t>
  </si>
  <si>
    <t>A-I-T19-F15</t>
  </si>
  <si>
    <t>A-I-T19-F16</t>
  </si>
  <si>
    <t>A-I-T20</t>
  </si>
  <si>
    <t>A-I-T20-F01</t>
  </si>
  <si>
    <t>A-I-T20-F02</t>
  </si>
  <si>
    <t>A-I-T20-F03</t>
  </si>
  <si>
    <t>A-I-T20-F04</t>
  </si>
  <si>
    <t>A-I-T20-F05</t>
  </si>
  <si>
    <t>A-I-T20-F06</t>
  </si>
  <si>
    <t>A-I-T20-F07</t>
  </si>
  <si>
    <t>A-I-T20-F08</t>
  </si>
  <si>
    <t>A-I-T20-F09</t>
  </si>
  <si>
    <t>A-I-T21</t>
  </si>
  <si>
    <t>A-I-T21-F01</t>
  </si>
  <si>
    <t>A-I-T21-F02</t>
  </si>
  <si>
    <t>A-I-T21-F03</t>
  </si>
  <si>
    <t>A-I-T21-F04</t>
  </si>
  <si>
    <t>A-I-T21-F05</t>
  </si>
  <si>
    <t>A-I-T21-F06</t>
  </si>
  <si>
    <t>A-I-T21-F07</t>
  </si>
  <si>
    <t>A-I-T22</t>
  </si>
  <si>
    <t>A-I-T22-F01</t>
  </si>
  <si>
    <t>A-I-T22-F02</t>
  </si>
  <si>
    <t>A-I-T22-F03</t>
  </si>
  <si>
    <t>A-I-T22-F04</t>
  </si>
  <si>
    <t>A-I-T22-F05</t>
  </si>
  <si>
    <t>A-I-T22-F06</t>
  </si>
  <si>
    <t>A-I-T22-F07</t>
  </si>
  <si>
    <t>A-I-T22-F08</t>
  </si>
  <si>
    <t>A-I-T22-F09</t>
  </si>
  <si>
    <t>A-I-T23</t>
  </si>
  <si>
    <t>A-I-T23-F01</t>
  </si>
  <si>
    <t>A-I-T23-F02</t>
  </si>
  <si>
    <t>A-I-T23-F03</t>
  </si>
  <si>
    <t>A-I-T23-F04</t>
  </si>
  <si>
    <t>A-I-T23-F05</t>
  </si>
  <si>
    <t>A-I-T23-F06</t>
  </si>
  <si>
    <t>A-I-T23-F07</t>
  </si>
  <si>
    <t>A-I-T23-F08</t>
  </si>
  <si>
    <t>A-I-T23-F09</t>
  </si>
  <si>
    <t>A-I-T24</t>
  </si>
  <si>
    <t>A-I-T24-F01</t>
  </si>
  <si>
    <t>A-I-T24-F02</t>
  </si>
  <si>
    <t>A-I-T24-F03</t>
  </si>
  <si>
    <t>A-I-T24-F04</t>
  </si>
  <si>
    <t>A-I-T24-F05</t>
  </si>
  <si>
    <t>A-I-T24-F06</t>
  </si>
  <si>
    <t>A-I-T24-F07</t>
  </si>
  <si>
    <t>A-I-T24-F08</t>
  </si>
  <si>
    <t>A-I-T24-F09</t>
  </si>
  <si>
    <t>A-I-T24-F10</t>
  </si>
  <si>
    <t>A-I-T25</t>
  </si>
  <si>
    <t>A-I-T25-F01</t>
  </si>
  <si>
    <t>A-I-T25-F02</t>
  </si>
  <si>
    <t>A-I-T25-F03</t>
  </si>
  <si>
    <t>A-I-T25-F04</t>
  </si>
  <si>
    <t>A-I-T25-F05</t>
  </si>
  <si>
    <t>A-I-T25-F06</t>
  </si>
  <si>
    <t>A-I-T25-F07</t>
  </si>
  <si>
    <t>A-I-T25-F08</t>
  </si>
  <si>
    <t>A-I-T25-F09</t>
  </si>
  <si>
    <t>A-I-T25-F10</t>
  </si>
  <si>
    <t>A-I-T26</t>
  </si>
  <si>
    <t>A-I-T26-F01</t>
  </si>
  <si>
    <t>A-I-T26-F02</t>
  </si>
  <si>
    <t>A-I-T26-F03</t>
  </si>
  <si>
    <t>A-I-T26-F04</t>
  </si>
  <si>
    <t>A-I-T26-F05</t>
  </si>
  <si>
    <t>A-I-T26-F06</t>
  </si>
  <si>
    <t>A-I-T26-F07</t>
  </si>
  <si>
    <t>A-I-T26-F08</t>
  </si>
  <si>
    <t>A-I-T26-F09</t>
  </si>
  <si>
    <t>A-I-T26-F10</t>
  </si>
  <si>
    <t>A-I-T27</t>
  </si>
  <si>
    <t>A-I-T27-F01</t>
  </si>
  <si>
    <t>A-I-T27-F02</t>
  </si>
  <si>
    <t>A-I-T27-F03</t>
  </si>
  <si>
    <t>A-I-T27-F04</t>
  </si>
  <si>
    <t>A-I-T27-F05</t>
  </si>
  <si>
    <t>A-I-T27-F06</t>
  </si>
  <si>
    <t>A-I-T27-F07</t>
  </si>
  <si>
    <t>A-I-T27-F08</t>
  </si>
  <si>
    <t>A-I-T27-F09</t>
  </si>
  <si>
    <t>A-I-T27-F10</t>
  </si>
  <si>
    <t>A-I-T27-F11</t>
  </si>
  <si>
    <t>A-I-T27-F12</t>
  </si>
  <si>
    <t>A-I-T27-F13</t>
  </si>
  <si>
    <t>A-I-T28</t>
  </si>
  <si>
    <t>A-I-T28-F01</t>
  </si>
  <si>
    <t>A-I-T28-F02</t>
  </si>
  <si>
    <t>A-I-T28-F03</t>
  </si>
  <si>
    <t>A-I-T28-F04</t>
  </si>
  <si>
    <t>A-I-T28-F05</t>
  </si>
  <si>
    <t>A-I-T28-F06</t>
  </si>
  <si>
    <t>A-I-T28-F07</t>
  </si>
  <si>
    <t>A-I-T29</t>
  </si>
  <si>
    <t>A-I-T29-F01</t>
  </si>
  <si>
    <t>A-I-T29-F02</t>
  </si>
  <si>
    <t>A-I-T29-F03</t>
  </si>
  <si>
    <t>A-I-T29-F04</t>
  </si>
  <si>
    <t>A-I-T29-F05</t>
  </si>
  <si>
    <t>A-I-T29-F06</t>
  </si>
  <si>
    <t>A-I-T29-F07</t>
  </si>
  <si>
    <t>A-I-T29-F08</t>
  </si>
  <si>
    <t>A-I-T29-F09</t>
  </si>
  <si>
    <t>A-I-T29-F10</t>
  </si>
  <si>
    <t>A-I-T29-F11</t>
  </si>
  <si>
    <t>A-I-T30</t>
  </si>
  <si>
    <t>A-I-T30-F01</t>
  </si>
  <si>
    <t>A-I-T30-F02</t>
  </si>
  <si>
    <t>A-I-T30-F03</t>
  </si>
  <si>
    <t>A-I-T30-F04</t>
  </si>
  <si>
    <t>A-I-T30-F05</t>
  </si>
  <si>
    <t>A-I-T30-F06</t>
  </si>
  <si>
    <t>A-I-T30-F07</t>
  </si>
  <si>
    <t>A-I-T30-F08</t>
  </si>
  <si>
    <t>A-I-T30-F09</t>
  </si>
  <si>
    <t>A-I-T30-F10</t>
  </si>
  <si>
    <t>A-I-T31</t>
  </si>
  <si>
    <t>A-I-T31-F01</t>
  </si>
  <si>
    <t>A-I-T31-F02</t>
  </si>
  <si>
    <t>A-I-T31-F03</t>
  </si>
  <si>
    <t>A-I-T31-F04</t>
  </si>
  <si>
    <t>A-I-T31-F05</t>
  </si>
  <si>
    <t>A-I-T31-F06</t>
  </si>
  <si>
    <t>A-I-T31-F07</t>
  </si>
  <si>
    <t>A-I-T31-F08</t>
  </si>
  <si>
    <t>A-I-T31-F09</t>
  </si>
  <si>
    <t>A-I-T31-F10</t>
  </si>
  <si>
    <t>A-I-T31-F11</t>
  </si>
  <si>
    <t>A-I-T31-F12</t>
  </si>
  <si>
    <t>A-I-T31-F13</t>
  </si>
  <si>
    <t>A-I-T31-F14</t>
  </si>
  <si>
    <t>A-I-T31-F15</t>
  </si>
  <si>
    <t>A-I-T32</t>
  </si>
  <si>
    <t>A-I-T32-F01</t>
  </si>
  <si>
    <t>A-I-T32-F02</t>
  </si>
  <si>
    <t>A-I-T32-F03</t>
  </si>
  <si>
    <t>A-I-T32-F04</t>
  </si>
  <si>
    <t>A-I-T32-F05</t>
  </si>
  <si>
    <t>A-I-T32-F06</t>
  </si>
  <si>
    <t>A-I-T32-F07</t>
  </si>
  <si>
    <t>A-I-T32-F08</t>
  </si>
  <si>
    <t>A-I-T32-F09</t>
  </si>
  <si>
    <t>A-I-T32-F10</t>
  </si>
  <si>
    <t>A-I-T32-F11</t>
  </si>
  <si>
    <t>A-I-T32-F12</t>
  </si>
  <si>
    <t>A-I-T32-F13</t>
  </si>
  <si>
    <t>A-I-T32-F14</t>
  </si>
  <si>
    <t>A-I-T33</t>
  </si>
  <si>
    <t>A-I-T33-F01</t>
  </si>
  <si>
    <t>A-I-T33-F02</t>
  </si>
  <si>
    <t>A-I-T33-F03</t>
  </si>
  <si>
    <t>A-I-T33-F04</t>
  </si>
  <si>
    <t>A-I-T33-F05</t>
  </si>
  <si>
    <t>A-I-T33-F06</t>
  </si>
  <si>
    <t>A-I-T33-F07</t>
  </si>
  <si>
    <t>A-I-T33-F08</t>
  </si>
  <si>
    <t>A-I-T33-F09</t>
  </si>
  <si>
    <t>A-I-T33-F10</t>
  </si>
  <si>
    <t>A-PASS-1</t>
  </si>
  <si>
    <t>A-PASS-2</t>
  </si>
  <si>
    <t>A-PASS-3</t>
  </si>
  <si>
    <t>A-PASS-4</t>
  </si>
  <si>
    <t>A-PASS-5</t>
  </si>
  <si>
    <t>A-PASS-6</t>
  </si>
  <si>
    <t>A-PASS-7</t>
  </si>
  <si>
    <t>A-PASS-8</t>
  </si>
  <si>
    <t>A-CHECK-HASH</t>
  </si>
  <si>
    <t>A-CHECK-LINK</t>
  </si>
  <si>
    <t>A-CHECK-SEM</t>
  </si>
  <si>
    <t>A-CHECK-VIS</t>
  </si>
  <si>
    <t>A-CHECK-CLONE</t>
  </si>
  <si>
    <t>Source evidence</t>
  </si>
  <si>
    <t>Reusable role to copy and specialize per project.</t>
  </si>
  <si>
    <t>R-ROLE-EVIDENCE</t>
  </si>
  <si>
    <t>A-ROLE-EVIDENCE</t>
  </si>
  <si>
    <t>ROLE-EVIDENCE</t>
  </si>
  <si>
    <t>COPY AS STARTER</t>
  </si>
  <si>
    <t>Visual notation</t>
  </si>
  <si>
    <t>R-ROLE-NOTATION</t>
  </si>
  <si>
    <t>A-ROLE-NOTATION</t>
  </si>
  <si>
    <t>ROLE-NOTATION</t>
  </si>
  <si>
    <t>Editable figure source</t>
  </si>
  <si>
    <t>R-ROLE-EDITABLE</t>
  </si>
  <si>
    <t>A-ROLE-EDITABLE</t>
  </si>
  <si>
    <t>ROLE-EDITABLE</t>
  </si>
  <si>
    <t>Document figure export</t>
  </si>
  <si>
    <t>R-ROLE-DISPLAY</t>
  </si>
  <si>
    <t>A-ROLE-DISPLAY</t>
  </si>
  <si>
    <t>ROLE-DISPLAY</t>
  </si>
  <si>
    <t>Document review render</t>
  </si>
  <si>
    <t>R-ROLE-RENDER</t>
  </si>
  <si>
    <t>A-ROLE-RENDER</t>
  </si>
  <si>
    <t>ROLE-RENDER</t>
  </si>
  <si>
    <t>EFX_Figure_Set_Manifest_v0.1.json</t>
  </si>
  <si>
    <t>Exact preserved file, verified against local bytes.</t>
  </si>
  <si>
    <t>R-MANIFEST</t>
  </si>
  <si>
    <t>A-MANIFEST</t>
  </si>
  <si>
    <t>MANIFEST</t>
  </si>
  <si>
    <t>IMPORTED</t>
  </si>
  <si>
    <t>CLEAR</t>
  </si>
  <si>
    <t>CERBERUS_EFFECTS64_Candidate_Specification_v0.1.docx</t>
  </si>
  <si>
    <t>R-DOC-FINAL</t>
  </si>
  <si>
    <t>A-DOC-FINAL</t>
  </si>
  <si>
    <t>EFFECTS Pass 6 figure manifest</t>
  </si>
  <si>
    <t>Preserved paths, captions, dependency roles, hashes, and Wave approval notes.</t>
  </si>
  <si>
    <t>R-SRC-MANIFEST</t>
  </si>
  <si>
    <t>A-SRC-MANIFEST</t>
  </si>
  <si>
    <t>SRC-MANIFEST</t>
  </si>
  <si>
    <t>F01 explanatory content</t>
  </si>
  <si>
    <t>Reconstructed from approved figure caption.</t>
  </si>
  <si>
    <t>R-CONTENT-F01</t>
  </si>
  <si>
    <t>A-CONTENT-F01</t>
  </si>
  <si>
    <t>CONTENT-F01</t>
  </si>
  <si>
    <t>F01 contract</t>
  </si>
  <si>
    <t>Reconstructed explanatory obligation.</t>
  </si>
  <si>
    <t>R-CONTRACT-F01</t>
  </si>
  <si>
    <t>A-CONTRACT-F01</t>
  </si>
  <si>
    <t>CONTRACT-F01</t>
  </si>
  <si>
    <t>EFX_F01_Common_Effect_Contract_v0.1.svg</t>
  </si>
  <si>
    <t>R-F01-SVG</t>
  </si>
  <si>
    <t>A-F01-SVG</t>
  </si>
  <si>
    <t>F01-SVG</t>
  </si>
  <si>
    <t>F01 svg role</t>
  </si>
  <si>
    <t>Editable visual construction.</t>
  </si>
  <si>
    <t>R-ASSET-F01-SVG</t>
  </si>
  <si>
    <t>A-ASSET-F01-SVG</t>
  </si>
  <si>
    <t>ASSET-F01-SVG</t>
  </si>
  <si>
    <t>EFX_F01_Common_Effect_Contract_v0.1.png</t>
  </si>
  <si>
    <t>R-F01-PNG</t>
  </si>
  <si>
    <t>A-F01-PNG</t>
  </si>
  <si>
    <t>F01-PNG</t>
  </si>
  <si>
    <t>F01 png role</t>
  </si>
  <si>
    <t>Document-ready raster representation.</t>
  </si>
  <si>
    <t>R-ASSET-F01-PNG</t>
  </si>
  <si>
    <t>A-ASSET-F01-PNG</t>
  </si>
  <si>
    <t>ASSET-F01-PNG</t>
  </si>
  <si>
    <t>F01 approved output</t>
  </si>
  <si>
    <t>Registered preserved figure implementation.</t>
  </si>
  <si>
    <t>R-OUTPUT-F01</t>
  </si>
  <si>
    <t>A-OUTPUT-F01</t>
  </si>
  <si>
    <t>F01 figure placement</t>
  </si>
  <si>
    <t>Reconstructed relative figure sequence in reviewed document.</t>
  </si>
  <si>
    <t>R-PLACE-F01</t>
  </si>
  <si>
    <t>A-PLACE-F01</t>
  </si>
  <si>
    <t>PLACE-F01</t>
  </si>
  <si>
    <t>F02 explanatory content</t>
  </si>
  <si>
    <t>R-CONTENT-F02</t>
  </si>
  <si>
    <t>A-CONTENT-F02</t>
  </si>
  <si>
    <t>CONTENT-F02</t>
  </si>
  <si>
    <t>F02 contract</t>
  </si>
  <si>
    <t>R-CONTRACT-F02</t>
  </si>
  <si>
    <t>A-CONTRACT-F02</t>
  </si>
  <si>
    <t>CONTRACT-F02</t>
  </si>
  <si>
    <t>EFX_F02_Physical_Allocation_v0.1.svg</t>
  </si>
  <si>
    <t>R-F02-SVG</t>
  </si>
  <si>
    <t>A-F02-SVG</t>
  </si>
  <si>
    <t>F02-SVG</t>
  </si>
  <si>
    <t>F02 svg role</t>
  </si>
  <si>
    <t>R-ASSET-F02-SVG</t>
  </si>
  <si>
    <t>A-ASSET-F02-SVG</t>
  </si>
  <si>
    <t>ASSET-F02-SVG</t>
  </si>
  <si>
    <t>EFX_F02_Physical_Allocation_v0.1.png</t>
  </si>
  <si>
    <t>R-F02-PNG</t>
  </si>
  <si>
    <t>A-F02-PNG</t>
  </si>
  <si>
    <t>F02-PNG</t>
  </si>
  <si>
    <t>F02 png role</t>
  </si>
  <si>
    <t>R-ASSET-F02-PNG</t>
  </si>
  <si>
    <t>A-ASSET-F02-PNG</t>
  </si>
  <si>
    <t>ASSET-F02-PNG</t>
  </si>
  <si>
    <t>F02 approved output</t>
  </si>
  <si>
    <t>R-OUTPUT-F02</t>
  </si>
  <si>
    <t>A-OUTPUT-F02</t>
  </si>
  <si>
    <t>OUTPUT-F02</t>
  </si>
  <si>
    <t>F02 figure placement</t>
  </si>
  <si>
    <t>R-PLACE-F02</t>
  </si>
  <si>
    <t>A-PLACE-F02</t>
  </si>
  <si>
    <t>PLACE-F02</t>
  </si>
  <si>
    <t>F03 explanatory content</t>
  </si>
  <si>
    <t>R-CONTENT-F03</t>
  </si>
  <si>
    <t>A-CONTENT-F03</t>
  </si>
  <si>
    <t>CONTENT-F03</t>
  </si>
  <si>
    <t>F03 contract</t>
  </si>
  <si>
    <t>R-CONTRACT-F03</t>
  </si>
  <si>
    <t>A-CONTRACT-F03</t>
  </si>
  <si>
    <t>CONTRACT-F03</t>
  </si>
  <si>
    <t>EFX_F03_Value_Class_and_Domain_v0.1.svg</t>
  </si>
  <si>
    <t>R-F03-SVG</t>
  </si>
  <si>
    <t>A-F03-SVG</t>
  </si>
  <si>
    <t>F03-SVG</t>
  </si>
  <si>
    <t>F03 svg role</t>
  </si>
  <si>
    <t>R-ASSET-F03-SVG</t>
  </si>
  <si>
    <t>A-ASSET-F03-SVG</t>
  </si>
  <si>
    <t>ASSET-F03-SVG</t>
  </si>
  <si>
    <t>EFX_F03_Value_Class_and_Domain_v0.1.png</t>
  </si>
  <si>
    <t>R-F03-PNG</t>
  </si>
  <si>
    <t>A-F03-PNG</t>
  </si>
  <si>
    <t>F03-PNG</t>
  </si>
  <si>
    <t>F03 png role</t>
  </si>
  <si>
    <t>R-ASSET-F03-PNG</t>
  </si>
  <si>
    <t>A-ASSET-F03-PNG</t>
  </si>
  <si>
    <t>ASSET-F03-PNG</t>
  </si>
  <si>
    <t>F03 approved output</t>
  </si>
  <si>
    <t>R-OUTPUT-F03</t>
  </si>
  <si>
    <t>A-OUTPUT-F03</t>
  </si>
  <si>
    <t>OUTPUT-F03</t>
  </si>
  <si>
    <t>F03 figure placement</t>
  </si>
  <si>
    <t>R-PLACE-F03</t>
  </si>
  <si>
    <t>A-PLACE-F03</t>
  </si>
  <si>
    <t>PLACE-F03</t>
  </si>
  <si>
    <t>F04 explanatory content</t>
  </si>
  <si>
    <t>R-CONTENT-F04</t>
  </si>
  <si>
    <t>A-CONTENT-F04</t>
  </si>
  <si>
    <t>CONTENT-F04</t>
  </si>
  <si>
    <t>F04 contract</t>
  </si>
  <si>
    <t>R-CONTRACT-F04</t>
  </si>
  <si>
    <t>A-CONTRACT-F04</t>
  </si>
  <si>
    <t>CONTRACT-F04</t>
  </si>
  <si>
    <t>EFX_F04_Reader_and_Evaluation_v0.1.svg</t>
  </si>
  <si>
    <t>R-F04-SVG</t>
  </si>
  <si>
    <t>A-F04-SVG</t>
  </si>
  <si>
    <t>F04-SVG</t>
  </si>
  <si>
    <t>F04 svg role</t>
  </si>
  <si>
    <t>R-ASSET-F04-SVG</t>
  </si>
  <si>
    <t>A-ASSET-F04-SVG</t>
  </si>
  <si>
    <t>ASSET-F04-SVG</t>
  </si>
  <si>
    <t>EFX_F04_Reader_and_Evaluation_v0.1.png</t>
  </si>
  <si>
    <t>R-F04-PNG</t>
  </si>
  <si>
    <t>A-F04-PNG</t>
  </si>
  <si>
    <t>F04-PNG</t>
  </si>
  <si>
    <t>F04 png role</t>
  </si>
  <si>
    <t>R-ASSET-F04-PNG</t>
  </si>
  <si>
    <t>A-ASSET-F04-PNG</t>
  </si>
  <si>
    <t>ASSET-F04-PNG</t>
  </si>
  <si>
    <t>F04 approved output</t>
  </si>
  <si>
    <t>R-OUTPUT-F04</t>
  </si>
  <si>
    <t>A-OUTPUT-F04</t>
  </si>
  <si>
    <t>OUTPUT-F04</t>
  </si>
  <si>
    <t>F04 figure placement</t>
  </si>
  <si>
    <t>R-PLACE-F04</t>
  </si>
  <si>
    <t>A-PLACE-F04</t>
  </si>
  <si>
    <t>PLACE-F04</t>
  </si>
  <si>
    <t>F05 explanatory content</t>
  </si>
  <si>
    <t>R-CONTENT-F05</t>
  </si>
  <si>
    <t>A-CONTENT-F05</t>
  </si>
  <si>
    <t>CONTENT-F05</t>
  </si>
  <si>
    <t>F05 contract</t>
  </si>
  <si>
    <t>R-CONTRACT-F05</t>
  </si>
  <si>
    <t>A-CONTRACT-F05</t>
  </si>
  <si>
    <t>CONTRACT-F05</t>
  </si>
  <si>
    <t>EFX_F05_Partial_LIGHT_Trace_v0.1.svg</t>
  </si>
  <si>
    <t>R-F05-SVG</t>
  </si>
  <si>
    <t>A-F05-SVG</t>
  </si>
  <si>
    <t>F05-SVG</t>
  </si>
  <si>
    <t>F05 svg role</t>
  </si>
  <si>
    <t>R-ASSET-F05-SVG</t>
  </si>
  <si>
    <t>A-ASSET-F05-SVG</t>
  </si>
  <si>
    <t>ASSET-F05-SVG</t>
  </si>
  <si>
    <t>EFX_F05_Partial_LIGHT_Trace_v0.1.png</t>
  </si>
  <si>
    <t>R-F05-PNG</t>
  </si>
  <si>
    <t>A-F05-PNG</t>
  </si>
  <si>
    <t>F05-PNG</t>
  </si>
  <si>
    <t>F05 png role</t>
  </si>
  <si>
    <t>R-ASSET-F05-PNG</t>
  </si>
  <si>
    <t>A-ASSET-F05-PNG</t>
  </si>
  <si>
    <t>ASSET-F05-PNG</t>
  </si>
  <si>
    <t>F05 approved output</t>
  </si>
  <si>
    <t>R-OUTPUT-F05</t>
  </si>
  <si>
    <t>A-OUTPUT-F05</t>
  </si>
  <si>
    <t>OUTPUT-F05</t>
  </si>
  <si>
    <t>F05 figure placement</t>
  </si>
  <si>
    <t>R-PLACE-F05</t>
  </si>
  <si>
    <t>A-PLACE-F05</t>
  </si>
  <si>
    <t>PLACE-F05</t>
  </si>
  <si>
    <t>F06 explanatory content</t>
  </si>
  <si>
    <t>R-CONTENT-F06</t>
  </si>
  <si>
    <t>A-CONTENT-F06</t>
  </si>
  <si>
    <t>CONTENT-F06</t>
  </si>
  <si>
    <t>F06 contract</t>
  </si>
  <si>
    <t>R-CONTRACT-F06</t>
  </si>
  <si>
    <t>A-CONTRACT-F06</t>
  </si>
  <si>
    <t>CONTRACT-F06</t>
  </si>
  <si>
    <t>EFX_F06_Gain_Bias_and_Bounds_v0.1.svg</t>
  </si>
  <si>
    <t>R-F06-SVG</t>
  </si>
  <si>
    <t>A-F06-SVG</t>
  </si>
  <si>
    <t>F06-SVG</t>
  </si>
  <si>
    <t>F06 svg role</t>
  </si>
  <si>
    <t>R-ASSET-F06-SVG</t>
  </si>
  <si>
    <t>A-ASSET-F06-SVG</t>
  </si>
  <si>
    <t>ASSET-F06-SVG</t>
  </si>
  <si>
    <t>EFX_F06_Gain_Bias_and_Bounds_v0.1.png</t>
  </si>
  <si>
    <t>R-F06-PNG</t>
  </si>
  <si>
    <t>A-F06-PNG</t>
  </si>
  <si>
    <t>F06-PNG</t>
  </si>
  <si>
    <t>F06 png role</t>
  </si>
  <si>
    <t>R-ASSET-F06-PNG</t>
  </si>
  <si>
    <t>A-ASSET-F06-PNG</t>
  </si>
  <si>
    <t>ASSET-F06-PNG</t>
  </si>
  <si>
    <t>F06 approved output</t>
  </si>
  <si>
    <t>R-OUTPUT-F06</t>
  </si>
  <si>
    <t>A-OUTPUT-F06</t>
  </si>
  <si>
    <t>OUTPUT-F06</t>
  </si>
  <si>
    <t>F06 figure placement</t>
  </si>
  <si>
    <t>R-PLACE-F06</t>
  </si>
  <si>
    <t>A-PLACE-F06</t>
  </si>
  <si>
    <t>PLACE-F06</t>
  </si>
  <si>
    <t>F07 explanatory content</t>
  </si>
  <si>
    <t>R-CONTENT-F07</t>
  </si>
  <si>
    <t>A-CONTENT-F07</t>
  </si>
  <si>
    <t>CONTENT-F07</t>
  </si>
  <si>
    <t>F07 contract</t>
  </si>
  <si>
    <t>R-CONTRACT-F07</t>
  </si>
  <si>
    <t>A-CONTRACT-F07</t>
  </si>
  <si>
    <t>CONTRACT-F07</t>
  </si>
  <si>
    <t>EFX_F07_Compound_and_Graph_v0.1.svg</t>
  </si>
  <si>
    <t>R-F07-SVG</t>
  </si>
  <si>
    <t>A-F07-SVG</t>
  </si>
  <si>
    <t>F07-SVG</t>
  </si>
  <si>
    <t>F07 svg role</t>
  </si>
  <si>
    <t>R-ASSET-F07-SVG</t>
  </si>
  <si>
    <t>A-ASSET-F07-SVG</t>
  </si>
  <si>
    <t>ASSET-F07-SVG</t>
  </si>
  <si>
    <t>EFX_F07_Compound_and_Graph_v0.1.png</t>
  </si>
  <si>
    <t>R-F07-PNG</t>
  </si>
  <si>
    <t>A-F07-PNG</t>
  </si>
  <si>
    <t>F07-PNG</t>
  </si>
  <si>
    <t>F07 png role</t>
  </si>
  <si>
    <t>R-ASSET-F07-PNG</t>
  </si>
  <si>
    <t>A-ASSET-F07-PNG</t>
  </si>
  <si>
    <t>ASSET-F07-PNG</t>
  </si>
  <si>
    <t>F07 approved output</t>
  </si>
  <si>
    <t>R-OUTPUT-F07</t>
  </si>
  <si>
    <t>A-OUTPUT-F07</t>
  </si>
  <si>
    <t>OUTPUT-F07</t>
  </si>
  <si>
    <t>F07 figure placement</t>
  </si>
  <si>
    <t>R-PLACE-F07</t>
  </si>
  <si>
    <t>A-PLACE-F07</t>
  </si>
  <si>
    <t>PLACE-F07</t>
  </si>
  <si>
    <t>F08 explanatory content</t>
  </si>
  <si>
    <t>R-CONTENT-F08</t>
  </si>
  <si>
    <t>A-CONTENT-F08</t>
  </si>
  <si>
    <t>CONTENT-F08</t>
  </si>
  <si>
    <t>F08 contract</t>
  </si>
  <si>
    <t>R-CONTRACT-F08</t>
  </si>
  <si>
    <t>A-CONTRACT-F08</t>
  </si>
  <si>
    <t>CONTRACT-F08</t>
  </si>
  <si>
    <t>EFX_F08_Hold_Last_Valid_v0.1.svg</t>
  </si>
  <si>
    <t>R-F08-SVG</t>
  </si>
  <si>
    <t>A-F08-SVG</t>
  </si>
  <si>
    <t>F08-SVG</t>
  </si>
  <si>
    <t>F08 svg role</t>
  </si>
  <si>
    <t>R-ASSET-F08-SVG</t>
  </si>
  <si>
    <t>A-ASSET-F08-SVG</t>
  </si>
  <si>
    <t>ASSET-F08-SVG</t>
  </si>
  <si>
    <t>EFX_F08_Hold_Last_Valid_v0.1.png</t>
  </si>
  <si>
    <t>R-F08-PNG</t>
  </si>
  <si>
    <t>A-F08-PNG</t>
  </si>
  <si>
    <t>F08-PNG</t>
  </si>
  <si>
    <t>F08 png role</t>
  </si>
  <si>
    <t>R-ASSET-F08-PNG</t>
  </si>
  <si>
    <t>A-ASSET-F08-PNG</t>
  </si>
  <si>
    <t>ASSET-F08-PNG</t>
  </si>
  <si>
    <t>F08 approved output</t>
  </si>
  <si>
    <t>R-OUTPUT-F08</t>
  </si>
  <si>
    <t>A-OUTPUT-F08</t>
  </si>
  <si>
    <t>OUTPUT-F08</t>
  </si>
  <si>
    <t>F08 figure placement</t>
  </si>
  <si>
    <t>R-PLACE-F08</t>
  </si>
  <si>
    <t>A-PLACE-F08</t>
  </si>
  <si>
    <t>PLACE-F08</t>
  </si>
  <si>
    <t>EFFECTS reviewed candidate reference</t>
  </si>
  <si>
    <t>Worked-example reference release, reconstructed from preserved output.</t>
  </si>
  <si>
    <t>R-REL-EFX</t>
  </si>
  <si>
    <t>A-REL-EFX</t>
  </si>
  <si>
    <t>Preserve registered meaning</t>
  </si>
  <si>
    <t>R-RULE-SEM</t>
  </si>
  <si>
    <t>A-RULE-SEM</t>
  </si>
  <si>
    <t>RULE-SEM</t>
  </si>
  <si>
    <t>Reuse before recreation</t>
  </si>
  <si>
    <t>R-RULE-REUSE</t>
  </si>
  <si>
    <t>A-RULE-REUSE</t>
  </si>
  <si>
    <t>RULE-REUSE</t>
  </si>
  <si>
    <t>Legible technical layout</t>
  </si>
  <si>
    <t>R-RULE-LAYOUT</t>
  </si>
  <si>
    <t>A-RULE-LAYOUT</t>
  </si>
  <si>
    <t>RULE-LAYOUT</t>
  </si>
  <si>
    <t>Technical document rules</t>
  </si>
  <si>
    <t>R-RULESET-TECH</t>
  </si>
  <si>
    <t>A-RULESET-TECH</t>
  </si>
  <si>
    <t>Dark technical reference</t>
  </si>
  <si>
    <t>R-THEME-NEON</t>
  </si>
  <si>
    <t>A-THEME-NEON</t>
  </si>
  <si>
    <t>Technical paper starting template</t>
  </si>
  <si>
    <t>R-TPL-TECH</t>
  </si>
  <si>
    <t>A-TPL-TECH</t>
  </si>
  <si>
    <t>HEADER slot</t>
  </si>
  <si>
    <t>R-SLOT-HEADER</t>
  </si>
  <si>
    <t>A-SLOT-HEADER</t>
  </si>
  <si>
    <t>SLOT-HEADER</t>
  </si>
  <si>
    <t>CONTINUANCE slot</t>
  </si>
  <si>
    <t>R-SLOT-CONTINUANCE</t>
  </si>
  <si>
    <t>A-SLOT-CONTINUANCE</t>
  </si>
  <si>
    <t>SLOT-CONTINUANCE</t>
  </si>
  <si>
    <t>FIGURE slot</t>
  </si>
  <si>
    <t>R-SLOT-FIGURE</t>
  </si>
  <si>
    <t>A-SLOT-FIGURE</t>
  </si>
  <si>
    <t>SLOT-FIGURE</t>
  </si>
  <si>
    <t>EFFECTS figure sequence demonstration</t>
  </si>
  <si>
    <t>R-PLAN-EFX</t>
  </si>
  <si>
    <t>A-PLAN-EFX</t>
  </si>
  <si>
    <t>PLAN-EFX</t>
  </si>
  <si>
    <t>F01 in document assembly</t>
  </si>
  <si>
    <t>R-COMP-F01</t>
  </si>
  <si>
    <t>A-COMP-F01</t>
  </si>
  <si>
    <t>COMP-F01</t>
  </si>
  <si>
    <t>F01 illustrative generation request</t>
  </si>
  <si>
    <t>R-GEN-F01</t>
  </si>
  <si>
    <t>A-GEN-F01</t>
  </si>
  <si>
    <t>GEN-F01</t>
  </si>
  <si>
    <t>OctoGroove_Worked_Example.xlsx</t>
  </si>
  <si>
    <t>R-OG-FILE-WORKBOOK</t>
  </si>
  <si>
    <t>A-OG-FILE-WORKBOOK</t>
  </si>
  <si>
    <t>OG-FILE-WORKBOOK</t>
  </si>
  <si>
    <t>Wave A initial registration.</t>
  </si>
  <si>
    <t>Graph_Assembly_Fabric_v0.1.docx</t>
  </si>
  <si>
    <t>R-OG-FILE-ARCH</t>
  </si>
  <si>
    <t>A-OG-FILE-ARCH</t>
  </si>
  <si>
    <t>OG-FILE-ARCH</t>
  </si>
  <si>
    <t>Approved_Planning_Digest.txt</t>
  </si>
  <si>
    <t>R-OG-FILE-PLAN</t>
  </si>
  <si>
    <t>A-OG-FILE-PLAN</t>
  </si>
  <si>
    <t>OG-FILE-PLAN</t>
  </si>
  <si>
    <t>schema.json</t>
  </si>
  <si>
    <t>R-OG-FILE-SCHEMA</t>
  </si>
  <si>
    <t>A-OG-FILE-SCHEMA</t>
  </si>
  <si>
    <t>OG-FILE-SCHEMA</t>
  </si>
  <si>
    <t>OG-SOURCE-WORKBOOK</t>
  </si>
  <si>
    <t>R-OG-SOURCE-WORKBOOK</t>
  </si>
  <si>
    <t>A-OG-SOURCE-WORKBOOK</t>
  </si>
  <si>
    <t>OG-SOURCE-ARCH</t>
  </si>
  <si>
    <t>R-OG-SOURCE-ARCH</t>
  </si>
  <si>
    <t>A-OG-SOURCE-ARCH</t>
  </si>
  <si>
    <t>OG-SOURCE-PLAN</t>
  </si>
  <si>
    <t>R-OG-SOURCE-PLAN</t>
  </si>
  <si>
    <t>A-OG-SOURCE-PLAN</t>
  </si>
  <si>
    <t>OctoGroove paper Spine</t>
  </si>
  <si>
    <t>R-OG-PLAN</t>
  </si>
  <si>
    <t>A-OG-PLAN</t>
  </si>
  <si>
    <t>OG-PLAN</t>
  </si>
  <si>
    <t>Purpose and scope</t>
  </si>
  <si>
    <t>R-OG-C01</t>
  </si>
  <si>
    <t>A-OG-C01</t>
  </si>
  <si>
    <t>OG-C01</t>
  </si>
  <si>
    <t>R-OG-PLACE-01</t>
  </si>
  <si>
    <t>A-OG-PLACE-01</t>
  </si>
  <si>
    <t>OG-PLACE-01</t>
  </si>
  <si>
    <t>Paper and workbook relationship</t>
  </si>
  <si>
    <t>R-OG-C02</t>
  </si>
  <si>
    <t>A-OG-C02</t>
  </si>
  <si>
    <t>OG-C02</t>
  </si>
  <si>
    <t>R-OG-PLACE-02</t>
  </si>
  <si>
    <t>A-OG-PLACE-02</t>
  </si>
  <si>
    <t>OG-PLACE-02</t>
  </si>
  <si>
    <t>Terminology and identity</t>
  </si>
  <si>
    <t>R-OG-C03</t>
  </si>
  <si>
    <t>A-OG-C03</t>
  </si>
  <si>
    <t>OG-C03</t>
  </si>
  <si>
    <t>R-OG-PLACE-03</t>
  </si>
  <si>
    <t>A-OG-PLACE-03</t>
  </si>
  <si>
    <t>OG-PLACE-03</t>
  </si>
  <si>
    <t>The eight Passes</t>
  </si>
  <si>
    <t>R-OG-C04</t>
  </si>
  <si>
    <t>A-OG-C04</t>
  </si>
  <si>
    <t>OG-C04</t>
  </si>
  <si>
    <t>R-OG-PLACE-04</t>
  </si>
  <si>
    <t>A-OG-PLACE-04</t>
  </si>
  <si>
    <t>OG-PLACE-04</t>
  </si>
  <si>
    <t>Core transformation chains</t>
  </si>
  <si>
    <t>R-OG-C05</t>
  </si>
  <si>
    <t>A-OG-C05</t>
  </si>
  <si>
    <t>OG-C05</t>
  </si>
  <si>
    <t>R-OG-PLACE-05</t>
  </si>
  <si>
    <t>A-OG-PLACE-05</t>
  </si>
  <si>
    <t>OG-PLACE-05</t>
  </si>
  <si>
    <t>Document Spine and presentation</t>
  </si>
  <si>
    <t>R-OG-C06</t>
  </si>
  <si>
    <t>A-OG-C06</t>
  </si>
  <si>
    <t>OG-C06</t>
  </si>
  <si>
    <t>R-OG-PLACE-06</t>
  </si>
  <si>
    <t>A-OG-PLACE-06</t>
  </si>
  <si>
    <t>OG-PLACE-06</t>
  </si>
  <si>
    <t>Assets and generation</t>
  </si>
  <si>
    <t>R-OG-C07</t>
  </si>
  <si>
    <t>A-OG-C07</t>
  </si>
  <si>
    <t>OG-C07</t>
  </si>
  <si>
    <t>R-OG-PLACE-07</t>
  </si>
  <si>
    <t>A-OG-PLACE-07</t>
  </si>
  <si>
    <t>OG-PLACE-07</t>
  </si>
  <si>
    <t>Verification and PATCH</t>
  </si>
  <si>
    <t>R-OG-C08</t>
  </si>
  <si>
    <t>A-OG-C08</t>
  </si>
  <si>
    <t>OG-C08</t>
  </si>
  <si>
    <t>R-OG-PLACE-08</t>
  </si>
  <si>
    <t>A-OG-PLACE-08</t>
  </si>
  <si>
    <t>OG-PLACE-08</t>
  </si>
  <si>
    <t>Reuse and cumulative improvement</t>
  </si>
  <si>
    <t>R-OG-C09</t>
  </si>
  <si>
    <t>A-OG-C09</t>
  </si>
  <si>
    <t>OG-C09</t>
  </si>
  <si>
    <t>R-OG-PLACE-09</t>
  </si>
  <si>
    <t>A-OG-PLACE-09</t>
  </si>
  <si>
    <t>OG-PLACE-09</t>
  </si>
  <si>
    <t>Worked example and self application</t>
  </si>
  <si>
    <t>R-OG-C10</t>
  </si>
  <si>
    <t>A-OG-C10</t>
  </si>
  <si>
    <t>OG-C10</t>
  </si>
  <si>
    <t>R-OG-PLACE-10</t>
  </si>
  <si>
    <t>A-OG-PLACE-10</t>
  </si>
  <si>
    <t>OG-PLACE-10</t>
  </si>
  <si>
    <t>Sites handoff</t>
  </si>
  <si>
    <t>R-OG-C11</t>
  </si>
  <si>
    <t>A-OG-C11</t>
  </si>
  <si>
    <t>OG-C11</t>
  </si>
  <si>
    <t>R-OG-PLACE-11</t>
  </si>
  <si>
    <t>A-OG-PLACE-11</t>
  </si>
  <si>
    <t>OG-PLACE-11</t>
  </si>
  <si>
    <t>Trial and revision programme</t>
  </si>
  <si>
    <t>R-OG-C12</t>
  </si>
  <si>
    <t>A-OG-C12</t>
  </si>
  <si>
    <t>OG-C12</t>
  </si>
  <si>
    <t>R-OG-PLACE-12</t>
  </si>
  <si>
    <t>A-OG-PLACE-12</t>
  </si>
  <si>
    <t>OG-PLACE-12</t>
  </si>
  <si>
    <t>Schema reference</t>
  </si>
  <si>
    <t>R-OG-A01</t>
  </si>
  <si>
    <t>A-OG-A01</t>
  </si>
  <si>
    <t>OG-A01</t>
  </si>
  <si>
    <t>Record reference</t>
  </si>
  <si>
    <t>R-OG-A02</t>
  </si>
  <si>
    <t>A-OG-A02</t>
  </si>
  <si>
    <t>OG-A02</t>
  </si>
  <si>
    <t>R-OG-A03</t>
  </si>
  <si>
    <t>A-OG-A03</t>
  </si>
  <si>
    <t>OG-A03</t>
  </si>
  <si>
    <t>Drawing components</t>
  </si>
  <si>
    <t>R-OG-A04</t>
  </si>
  <si>
    <t>A-OG-A04</t>
  </si>
  <si>
    <t>OG-A04</t>
  </si>
  <si>
    <t>Implementation register</t>
  </si>
  <si>
    <t>R-OG-A05</t>
  </si>
  <si>
    <t>A-OG-A05</t>
  </si>
  <si>
    <t>OG-A05</t>
  </si>
  <si>
    <t>Figure text</t>
  </si>
  <si>
    <t>R-OG-A06</t>
  </si>
  <si>
    <t>A-OG-A06</t>
  </si>
  <si>
    <t>OG-A06</t>
  </si>
  <si>
    <t>Operating Package</t>
  </si>
  <si>
    <t>R-OG-F01</t>
  </si>
  <si>
    <t>A-OG-F01</t>
  </si>
  <si>
    <t>OG-F01</t>
  </si>
  <si>
    <t>Operating Package evidence and example</t>
  </si>
  <si>
    <t>R-OG-F01-EXAMPLE</t>
  </si>
  <si>
    <t>A-OG-F01-EXAMPLE</t>
  </si>
  <si>
    <t>OG-F01-EXAMPLE</t>
  </si>
  <si>
    <t>Evidence to Document Assembly</t>
  </si>
  <si>
    <t>R-OG-F02</t>
  </si>
  <si>
    <t>A-OG-F02</t>
  </si>
  <si>
    <t>OG-F02</t>
  </si>
  <si>
    <t>Evidence to Document Assembly evidence and example</t>
  </si>
  <si>
    <t>R-OG-F02-EXAMPLE</t>
  </si>
  <si>
    <t>A-OG-F02-EXAMPLE</t>
  </si>
  <si>
    <t>OG-F02-EXAMPLE</t>
  </si>
  <si>
    <t>Reading One Graph Instruction</t>
  </si>
  <si>
    <t>R-OG-F03</t>
  </si>
  <si>
    <t>A-OG-F03</t>
  </si>
  <si>
    <t>OG-F03</t>
  </si>
  <si>
    <t>Reading One Graph Instruction evidence and example</t>
  </si>
  <si>
    <t>R-OG-F03-EXAMPLE</t>
  </si>
  <si>
    <t>A-OG-F03-EXAMPLE</t>
  </si>
  <si>
    <t>OG-F03-EXAMPLE</t>
  </si>
  <si>
    <t>Document Spine and Template Slots</t>
  </si>
  <si>
    <t>R-OG-F04</t>
  </si>
  <si>
    <t>A-OG-F04</t>
  </si>
  <si>
    <t>OG-F04</t>
  </si>
  <si>
    <t>Document Spine and Template Slots evidence and example</t>
  </si>
  <si>
    <t>R-OG-F04-EXAMPLE</t>
  </si>
  <si>
    <t>A-OG-F04-EXAMPLE</t>
  </si>
  <si>
    <t>OG-F04-EXAMPLE</t>
  </si>
  <si>
    <t>Asset Selection and Generation Readback</t>
  </si>
  <si>
    <t>R-OG-F05</t>
  </si>
  <si>
    <t>A-OG-F05</t>
  </si>
  <si>
    <t>OG-F05</t>
  </si>
  <si>
    <t>Asset Selection and Generation Readback evidence and example</t>
  </si>
  <si>
    <t>R-OG-F05-EXAMPLE</t>
  </si>
  <si>
    <t>A-OG-F05-EXAMPLE</t>
  </si>
  <si>
    <t>OG-F05-EXAMPLE</t>
  </si>
  <si>
    <t>Dependency Repair and Selective Rebuild</t>
  </si>
  <si>
    <t>R-OG-F06</t>
  </si>
  <si>
    <t>A-OG-F06</t>
  </si>
  <si>
    <t>OG-F06</t>
  </si>
  <si>
    <t>Dependency Repair and Selective Rebuild evidence and example</t>
  </si>
  <si>
    <t>R-OG-F06-EXAMPLE</t>
  </si>
  <si>
    <t>A-OG-F06-EXAMPLE</t>
  </si>
  <si>
    <t>OG-F06-EXAMPLE</t>
  </si>
  <si>
    <t>Project Work and Reusable Asset Pools</t>
  </si>
  <si>
    <t>R-OG-F07</t>
  </si>
  <si>
    <t>A-OG-F07</t>
  </si>
  <si>
    <t>OG-F07</t>
  </si>
  <si>
    <t>Project Work and Reusable Asset Pools evidence and example</t>
  </si>
  <si>
    <t>R-OG-F07-EXAMPLE</t>
  </si>
  <si>
    <t>A-OG-F07-EXAMPLE</t>
  </si>
  <si>
    <t>OG-F07-EXAMPLE</t>
  </si>
  <si>
    <t>OG-A01_Schema_Reference.json</t>
  </si>
  <si>
    <t>R-OG-A01-FILE</t>
  </si>
  <si>
    <t>A-OG-A01-FILE</t>
  </si>
  <si>
    <t>OG-A01-FILE</t>
  </si>
  <si>
    <t>OG-A02_Record_Reference.json</t>
  </si>
  <si>
    <t>R-OG-A02-FILE</t>
  </si>
  <si>
    <t>A-OG-A02-FILE</t>
  </si>
  <si>
    <t>OG-A02-FILE</t>
  </si>
  <si>
    <t>OG-A05_Implementation_Register.json</t>
  </si>
  <si>
    <t>R-OG-A05-FILE</t>
  </si>
  <si>
    <t>A-OG-A05-FILE</t>
  </si>
  <si>
    <t>OG-A05-FILE</t>
  </si>
  <si>
    <t>OG-A03_Visual_Notation.json</t>
  </si>
  <si>
    <t>Initial Wave B asset.</t>
  </si>
  <si>
    <t>R-OG-B-NOTATION</t>
  </si>
  <si>
    <t>A-OG-B-NOTATION</t>
  </si>
  <si>
    <t>OG-B-NOTATION</t>
  </si>
  <si>
    <t>Shared notation, components and initial figure text.</t>
  </si>
  <si>
    <t>OG-A04_Components.svg</t>
  </si>
  <si>
    <t>R-OG-B-COMPONENTS</t>
  </si>
  <si>
    <t>A-OG-B-COMPONENTS</t>
  </si>
  <si>
    <t>OG-B-COMPONENTS</t>
  </si>
  <si>
    <t>OG-A06_Figure_Text.json</t>
  </si>
  <si>
    <t>R-OG-B-TEXT</t>
  </si>
  <si>
    <t>A-OG-B-TEXT</t>
  </si>
  <si>
    <t>OG-B-TEXT</t>
  </si>
  <si>
    <t>OG-A04_Construction_Sample.png</t>
  </si>
  <si>
    <t>R-OG-B-SAMPLE</t>
  </si>
  <si>
    <t>A-OG-B-SAMPLE</t>
  </si>
  <si>
    <t>OG-B-SAMPLE</t>
  </si>
  <si>
    <t>Component_Use.txt</t>
  </si>
  <si>
    <t>R-OG-B-USE</t>
  </si>
  <si>
    <t>A-OG-B-USE</t>
  </si>
  <si>
    <t>OG-B-USE</t>
  </si>
  <si>
    <t>Font_Check.json</t>
  </si>
  <si>
    <t>R-OG-B-FONT</t>
  </si>
  <si>
    <t>A-OG-B-FONT</t>
  </si>
  <si>
    <t>OG-B-FONT</t>
  </si>
  <si>
    <t>OG-F01_Operating_Package.svg</t>
  </si>
  <si>
    <t>Wave C initial revision.</t>
  </si>
  <si>
    <t>R-OG-F01-SVG</t>
  </si>
  <si>
    <t>A-OG-F01-SVG</t>
  </si>
  <si>
    <t>OG-F01-SVG</t>
  </si>
  <si>
    <t>Built and registered OG-F01 / OG-F03.</t>
  </si>
  <si>
    <t>OG-F01_Operating_Package.png</t>
  </si>
  <si>
    <t>R-OG-F01-PNG</t>
  </si>
  <si>
    <t>A-OG-F01-PNG</t>
  </si>
  <si>
    <t>OG-F01-PNG</t>
  </si>
  <si>
    <t>OG-F01_Package_Roles.json</t>
  </si>
  <si>
    <t>R-OG-F01-EVIDENCE</t>
  </si>
  <si>
    <t>A-OG-F01-EVIDENCE</t>
  </si>
  <si>
    <t>OG-F01-EVIDENCE</t>
  </si>
  <si>
    <t>R-OG-F01-OUTPUT</t>
  </si>
  <si>
    <t>A-OG-F01-OUTPUT</t>
  </si>
  <si>
    <t>OG-F01-OUTPUT</t>
  </si>
  <si>
    <t>OG-F01 figure placement</t>
  </si>
  <si>
    <t>R-OG-F01-PLACE</t>
  </si>
  <si>
    <t>A-OG-F01-PLACE</t>
  </si>
  <si>
    <t>OG-F01-PLACE</t>
  </si>
  <si>
    <t>OG-F03_Reading_Instruction.svg</t>
  </si>
  <si>
    <t>R-OG-F03-SVG</t>
  </si>
  <si>
    <t>A-OG-F03-SVG</t>
  </si>
  <si>
    <t>OG-F03-SVG</t>
  </si>
  <si>
    <t>OG-F03_Reading_Instruction.png</t>
  </si>
  <si>
    <t>R-OG-F03-PNG</t>
  </si>
  <si>
    <t>A-OG-F03-PNG</t>
  </si>
  <si>
    <t>OG-F03-PNG</t>
  </si>
  <si>
    <t>OG-F03_Traversal.json</t>
  </si>
  <si>
    <t>R-OG-F03-EVIDENCE</t>
  </si>
  <si>
    <t>A-OG-F03-EVIDENCE</t>
  </si>
  <si>
    <t>OG-F03-EVIDENCE</t>
  </si>
  <si>
    <t>R-OG-F03-OUTPUT</t>
  </si>
  <si>
    <t>A-OG-F03-OUTPUT</t>
  </si>
  <si>
    <t>OG-F03-OUTPUT</t>
  </si>
  <si>
    <t>OG-F03 figure placement</t>
  </si>
  <si>
    <t>R-OG-F03-PLACE</t>
  </si>
  <si>
    <t>A-OG-F03-PLACE</t>
  </si>
  <si>
    <t>OG-F03-PLACE</t>
  </si>
  <si>
    <t>OG-F02_Evidence_Assembly.svg</t>
  </si>
  <si>
    <t>Wave D initial revision.</t>
  </si>
  <si>
    <t>R-OG-F02-SVG</t>
  </si>
  <si>
    <t>A-OG-F02-SVG</t>
  </si>
  <si>
    <t>OG-F02-SVG</t>
  </si>
  <si>
    <t>Built and registered OG-F02.</t>
  </si>
  <si>
    <t>OG-F02_Evidence_Assembly.png</t>
  </si>
  <si>
    <t>R-OG-F02-PNG</t>
  </si>
  <si>
    <t>A-OG-F02-PNG</t>
  </si>
  <si>
    <t>OG-F02-PNG</t>
  </si>
  <si>
    <t>OG-F02_Relationships.json</t>
  </si>
  <si>
    <t>R-OG-F02-EVIDENCE</t>
  </si>
  <si>
    <t>A-OG-F02-EVIDENCE</t>
  </si>
  <si>
    <t>OG-F02-EVIDENCE</t>
  </si>
  <si>
    <t>R-OG-F02-OUTPUT</t>
  </si>
  <si>
    <t>A-OG-F02-OUTPUT</t>
  </si>
  <si>
    <t>OG-F02-OUTPUT</t>
  </si>
  <si>
    <t>OG-F02 figure placement</t>
  </si>
  <si>
    <t>R-OG-F02-PLACE</t>
  </si>
  <si>
    <t>A-OG-F02-PLACE</t>
  </si>
  <si>
    <t>OG-F02-PLACE</t>
  </si>
  <si>
    <t>OG-F04_Document_Spine.svg</t>
  </si>
  <si>
    <t>Wave E initial revision.</t>
  </si>
  <si>
    <t>R-OG-F04-SVG</t>
  </si>
  <si>
    <t>A-OG-F04-SVG</t>
  </si>
  <si>
    <t>OG-F04-SVG</t>
  </si>
  <si>
    <t>Built and registered OG-F04.</t>
  </si>
  <si>
    <t>OG-F04_Document_Spine.png</t>
  </si>
  <si>
    <t>R-OG-F04-PNG</t>
  </si>
  <si>
    <t>A-OG-F04-PNG</t>
  </si>
  <si>
    <t>OG-F04-PNG</t>
  </si>
  <si>
    <t>OG-F04_Spine_Example.json</t>
  </si>
  <si>
    <t>R-OG-F04-EVIDENCE</t>
  </si>
  <si>
    <t>A-OG-F04-EVIDENCE</t>
  </si>
  <si>
    <t>OG-F04-EVIDENCE</t>
  </si>
  <si>
    <t>R-OG-F04-OUTPUT</t>
  </si>
  <si>
    <t>A-OG-F04-OUTPUT</t>
  </si>
  <si>
    <t>OG-F04-OUTPUT</t>
  </si>
  <si>
    <t>OG-F04 figure placement</t>
  </si>
  <si>
    <t>R-OG-F04-PLACE</t>
  </si>
  <si>
    <t>A-OG-F04-PLACE</t>
  </si>
  <si>
    <t>OG-F04-PLACE</t>
  </si>
  <si>
    <t>OG-F05_Asset_Readback.svg</t>
  </si>
  <si>
    <t>Wave F initial revision.</t>
  </si>
  <si>
    <t>R-OG-F05-SVG</t>
  </si>
  <si>
    <t>A-OG-F05-SVG</t>
  </si>
  <si>
    <t>OG-F05-SVG</t>
  </si>
  <si>
    <t>Built and registered OG-F05.</t>
  </si>
  <si>
    <t>OG-F05_Asset_Readback.png</t>
  </si>
  <si>
    <t>R-OG-F05-PNG</t>
  </si>
  <si>
    <t>A-OG-F05-PNG</t>
  </si>
  <si>
    <t>OG-F05-PNG</t>
  </si>
  <si>
    <t>OG-F05_Readback_Example.json</t>
  </si>
  <si>
    <t>R-OG-F05-EVIDENCE</t>
  </si>
  <si>
    <t>A-OG-F05-EVIDENCE</t>
  </si>
  <si>
    <t>OG-F05-EVIDENCE</t>
  </si>
  <si>
    <t>R-OG-F05-OUTPUT</t>
  </si>
  <si>
    <t>A-OG-F05-OUTPUT</t>
  </si>
  <si>
    <t>OG-F05-OUTPUT</t>
  </si>
  <si>
    <t>OG-F05 figure placement</t>
  </si>
  <si>
    <t>R-OG-F05-PLACE</t>
  </si>
  <si>
    <t>A-OG-F05-PLACE</t>
  </si>
  <si>
    <t>OG-F05-PLACE</t>
  </si>
  <si>
    <t>OG-F06_Dependency_Repair.svg</t>
  </si>
  <si>
    <t>Wave G initial revision.</t>
  </si>
  <si>
    <t>R-OG-F06-SVG</t>
  </si>
  <si>
    <t>A-OG-F06-SVG</t>
  </si>
  <si>
    <t>OG-F06-SVG</t>
  </si>
  <si>
    <t>Built and registered OG-F06 and OG-F07.</t>
  </si>
  <si>
    <t>OG-F06_Dependency_Repair.png</t>
  </si>
  <si>
    <t>R-OG-F06-PNG</t>
  </si>
  <si>
    <t>A-OG-F06-PNG</t>
  </si>
  <si>
    <t>OG-F06-PNG</t>
  </si>
  <si>
    <t>OG-F06_Repair_Example.json</t>
  </si>
  <si>
    <t>R-OG-F06-EVIDENCE</t>
  </si>
  <si>
    <t>A-OG-F06-EVIDENCE</t>
  </si>
  <si>
    <t>OG-F06-EVIDENCE</t>
  </si>
  <si>
    <t>R-OG-F06-OUTPUT</t>
  </si>
  <si>
    <t>A-OG-F06-OUTPUT</t>
  </si>
  <si>
    <t>OG-F06-OUTPUT</t>
  </si>
  <si>
    <t>OG-F06 figure placement</t>
  </si>
  <si>
    <t>R-OG-F06-PLACE</t>
  </si>
  <si>
    <t>A-OG-F06-PLACE</t>
  </si>
  <si>
    <t>OG-F06-PLACE</t>
  </si>
  <si>
    <t>OG-F07_Reusable_Pools.svg</t>
  </si>
  <si>
    <t>R-OG-F07-SVG</t>
  </si>
  <si>
    <t>A-OG-F07-SVG</t>
  </si>
  <si>
    <t>OG-F07-SVG</t>
  </si>
  <si>
    <t>OG-F07_Reusable_Pools.png</t>
  </si>
  <si>
    <t>R-OG-F07-PNG</t>
  </si>
  <si>
    <t>A-OG-F07-PNG</t>
  </si>
  <si>
    <t>OG-F07-PNG</t>
  </si>
  <si>
    <t>OG-F07_Pool_Example.json</t>
  </si>
  <si>
    <t>R-OG-F07-EVIDENCE</t>
  </si>
  <si>
    <t>A-OG-F07-EVIDENCE</t>
  </si>
  <si>
    <t>OG-F07-EVIDENCE</t>
  </si>
  <si>
    <t>R-OG-F07-OUTPUT</t>
  </si>
  <si>
    <t>A-OG-F07-OUTPUT</t>
  </si>
  <si>
    <t>OG-F07-OUTPUT</t>
  </si>
  <si>
    <t>OG-F07 figure placement</t>
  </si>
  <si>
    <t>R-OG-F07-PLACE</t>
  </si>
  <si>
    <t>A-OG-F07-PLACE</t>
  </si>
  <si>
    <t>OG-F07-PLACE</t>
  </si>
  <si>
    <t>Combined_Verification.json</t>
  </si>
  <si>
    <t>Wave H evidence artifact.</t>
  </si>
  <si>
    <t>R-OG-H-AUDIT</t>
  </si>
  <si>
    <t>A-OG-H-AUDIT</t>
  </si>
  <si>
    <t>OG-H-AUDIT</t>
  </si>
  <si>
    <t>Combined asset audit and Pass7 composition handoff.</t>
  </si>
  <si>
    <t>Composition_Manifest.json</t>
  </si>
  <si>
    <t>R-OG-H-MANIFEST</t>
  </si>
  <si>
    <t>A-OG-H-MANIFEST</t>
  </si>
  <si>
    <t>OG-H-MANIFEST</t>
  </si>
  <si>
    <t>Pass_7_Handoff.txt</t>
  </si>
  <si>
    <t>R-OG-H-HANDOFF</t>
  </si>
  <si>
    <t>A-OG-H-HANDOFF</t>
  </si>
  <si>
    <t>OG-H-HANDOFF</t>
  </si>
  <si>
    <t>Purpose and scope prose</t>
  </si>
  <si>
    <t>Pass 7 composition record.</t>
  </si>
  <si>
    <t>R-OG-PROSE-01</t>
  </si>
  <si>
    <t>A-OG-PROSE-01</t>
  </si>
  <si>
    <t>OG-PROSE-01</t>
  </si>
  <si>
    <t>Initial composition candidate registration.</t>
  </si>
  <si>
    <t>Purpose and scope continuance</t>
  </si>
  <si>
    <t>R-OG-PROSE-PLACE-01</t>
  </si>
  <si>
    <t>A-OG-PROSE-PLACE-01</t>
  </si>
  <si>
    <t>OG-PROSE-PLACE-01</t>
  </si>
  <si>
    <t>Paper and workbook relationship prose</t>
  </si>
  <si>
    <t>R-OG-PROSE-02</t>
  </si>
  <si>
    <t>A-OG-PROSE-02</t>
  </si>
  <si>
    <t>OG-PROSE-02</t>
  </si>
  <si>
    <t>Paper and workbook relationship continuance</t>
  </si>
  <si>
    <t>R-OG-PROSE-PLACE-02</t>
  </si>
  <si>
    <t>A-OG-PROSE-PLACE-02</t>
  </si>
  <si>
    <t>OG-PROSE-PLACE-02</t>
  </si>
  <si>
    <t>Terminology and identity prose</t>
  </si>
  <si>
    <t>R-OG-PROSE-03</t>
  </si>
  <si>
    <t>A-OG-PROSE-03</t>
  </si>
  <si>
    <t>OG-PROSE-03</t>
  </si>
  <si>
    <t>Terminology and identity continuance</t>
  </si>
  <si>
    <t>R-OG-PROSE-PLACE-03</t>
  </si>
  <si>
    <t>A-OG-PROSE-PLACE-03</t>
  </si>
  <si>
    <t>OG-PROSE-PLACE-03</t>
  </si>
  <si>
    <t>The eight Passes prose</t>
  </si>
  <si>
    <t>R-OG-PROSE-04</t>
  </si>
  <si>
    <t>A-OG-PROSE-04</t>
  </si>
  <si>
    <t>OG-PROSE-04</t>
  </si>
  <si>
    <t>The eight Passes continuance</t>
  </si>
  <si>
    <t>R-OG-PROSE-PLACE-04</t>
  </si>
  <si>
    <t>A-OG-PROSE-PLACE-04</t>
  </si>
  <si>
    <t>OG-PROSE-PLACE-04</t>
  </si>
  <si>
    <t>Core transformation chains prose</t>
  </si>
  <si>
    <t>R-OG-PROSE-05</t>
  </si>
  <si>
    <t>A-OG-PROSE-05</t>
  </si>
  <si>
    <t>OG-PROSE-05</t>
  </si>
  <si>
    <t>Core transformation chains continuance</t>
  </si>
  <si>
    <t>R-OG-PROSE-PLACE-05</t>
  </si>
  <si>
    <t>A-OG-PROSE-PLACE-05</t>
  </si>
  <si>
    <t>OG-PROSE-PLACE-05</t>
  </si>
  <si>
    <t>Document Spine and presentation prose</t>
  </si>
  <si>
    <t>R-OG-PROSE-06</t>
  </si>
  <si>
    <t>A-OG-PROSE-06</t>
  </si>
  <si>
    <t>OG-PROSE-06</t>
  </si>
  <si>
    <t>Document Spine and presentation continuance</t>
  </si>
  <si>
    <t>R-OG-PROSE-PLACE-06</t>
  </si>
  <si>
    <t>A-OG-PROSE-PLACE-06</t>
  </si>
  <si>
    <t>OG-PROSE-PLACE-06</t>
  </si>
  <si>
    <t>Assets and generation prose</t>
  </si>
  <si>
    <t>R-OG-PROSE-07</t>
  </si>
  <si>
    <t>A-OG-PROSE-07</t>
  </si>
  <si>
    <t>OG-PROSE-07</t>
  </si>
  <si>
    <t>Assets and generation continuance</t>
  </si>
  <si>
    <t>R-OG-PROSE-PLACE-07</t>
  </si>
  <si>
    <t>A-OG-PROSE-PLACE-07</t>
  </si>
  <si>
    <t>OG-PROSE-PLACE-07</t>
  </si>
  <si>
    <t>Verification and PATCH prose</t>
  </si>
  <si>
    <t>R-OG-PROSE-08</t>
  </si>
  <si>
    <t>A-OG-PROSE-08</t>
  </si>
  <si>
    <t>OG-PROSE-08</t>
  </si>
  <si>
    <t>Verification and PATCH continuance</t>
  </si>
  <si>
    <t>R-OG-PROSE-PLACE-08</t>
  </si>
  <si>
    <t>A-OG-PROSE-PLACE-08</t>
  </si>
  <si>
    <t>OG-PROSE-PLACE-08</t>
  </si>
  <si>
    <t>Reuse and cumulative improvement prose</t>
  </si>
  <si>
    <t>R-OG-PROSE-09</t>
  </si>
  <si>
    <t>A-OG-PROSE-09</t>
  </si>
  <si>
    <t>OG-PROSE-09</t>
  </si>
  <si>
    <t>Reuse and cumulative improvement continuance</t>
  </si>
  <si>
    <t>R-OG-PROSE-PLACE-09</t>
  </si>
  <si>
    <t>A-OG-PROSE-PLACE-09</t>
  </si>
  <si>
    <t>OG-PROSE-PLACE-09</t>
  </si>
  <si>
    <t>Worked example and self application prose</t>
  </si>
  <si>
    <t>R-OG-PROSE-10</t>
  </si>
  <si>
    <t>A-OG-PROSE-10</t>
  </si>
  <si>
    <t>OG-PROSE-10</t>
  </si>
  <si>
    <t>Worked example and self application continuance</t>
  </si>
  <si>
    <t>R-OG-PROSE-PLACE-10</t>
  </si>
  <si>
    <t>A-OG-PROSE-PLACE-10</t>
  </si>
  <si>
    <t>OG-PROSE-PLACE-10</t>
  </si>
  <si>
    <t>Sites handoff prose</t>
  </si>
  <si>
    <t>R-OG-PROSE-11</t>
  </si>
  <si>
    <t>A-OG-PROSE-11</t>
  </si>
  <si>
    <t>OG-PROSE-11</t>
  </si>
  <si>
    <t>Sites handoff continuance</t>
  </si>
  <si>
    <t>R-OG-PROSE-PLACE-11</t>
  </si>
  <si>
    <t>A-OG-PROSE-PLACE-11</t>
  </si>
  <si>
    <t>OG-PROSE-PLACE-11</t>
  </si>
  <si>
    <t>Trial and revision programme prose</t>
  </si>
  <si>
    <t>R-OG-PROSE-12</t>
  </si>
  <si>
    <t>A-OG-PROSE-12</t>
  </si>
  <si>
    <t>OG-PROSE-12</t>
  </si>
  <si>
    <t>Trial and revision programme continuance</t>
  </si>
  <si>
    <t>R-OG-PROSE-PLACE-12</t>
  </si>
  <si>
    <t>A-OG-PROSE-PLACE-12</t>
  </si>
  <si>
    <t>OG-PROSE-PLACE-12</t>
  </si>
  <si>
    <t>OctoGroove_Document_Construction_System_Pass7.docx</t>
  </si>
  <si>
    <t>R-OG-P7-DOC</t>
  </si>
  <si>
    <t>A-OG-P7-DOC</t>
  </si>
  <si>
    <t>Prose.json</t>
  </si>
  <si>
    <t>R-OG-P7-PROSE</t>
  </si>
  <si>
    <t>A-OG-P7-PROSE</t>
  </si>
  <si>
    <t>OG-P7-PROSE</t>
  </si>
  <si>
    <t>Emission_Trace.json</t>
  </si>
  <si>
    <t>R-OG-P7-TRACE</t>
  </si>
  <si>
    <t>A-OG-P7-TRACE</t>
  </si>
  <si>
    <t>OG-P7-TRACE</t>
  </si>
  <si>
    <t>compose.py</t>
  </si>
  <si>
    <t>R-OG-P7-CODE</t>
  </si>
  <si>
    <t>A-OG-P7-CODE</t>
  </si>
  <si>
    <t>OG-P7-CODE</t>
  </si>
  <si>
    <t>Composition_QA.json</t>
  </si>
  <si>
    <t>R-OG-P7-QA</t>
  </si>
  <si>
    <t>A-OG-P7-QA</t>
  </si>
  <si>
    <t>OG-P7-QA</t>
  </si>
  <si>
    <t>Pass8_Audit.json</t>
  </si>
  <si>
    <t>Pass 8 final review record.</t>
  </si>
  <si>
    <t>R-OG-P8-AUDIT</t>
  </si>
  <si>
    <t>A-OG-P8-AUDIT</t>
  </si>
  <si>
    <t>OG-P8-AUDIT</t>
  </si>
  <si>
    <t>Final scoped paper verification.</t>
  </si>
  <si>
    <t>Pass8_Review.md</t>
  </si>
  <si>
    <t>R-OG-P8-REVIEW</t>
  </si>
  <si>
    <t>A-OG-P8-REVIEW</t>
  </si>
  <si>
    <t>OG-P8-REVIEW</t>
  </si>
  <si>
    <t>OctoGroove reviewed paper</t>
  </si>
  <si>
    <t>R-OG-RELEASE-P8</t>
  </si>
  <si>
    <t>A-OG-RELEASE-P8</t>
  </si>
  <si>
    <t>📚🔎 Sources</t>
  </si>
  <si>
    <t>5 — Source Kind</t>
  </si>
  <si>
    <t>6 — Local Snapshot</t>
  </si>
  <si>
    <t>7 — Source URL</t>
  </si>
  <si>
    <t>8 — Source Version</t>
  </si>
  <si>
    <t>9 — Provenance</t>
  </si>
  <si>
    <t>10 — Authority Role</t>
  </si>
  <si>
    <t>11 — Use Conditions</t>
  </si>
  <si>
    <t>f05_source_kind</t>
  </si>
  <si>
    <t>f06_local_snapshot</t>
  </si>
  <si>
    <t>f07_source_url</t>
  </si>
  <si>
    <t>f08_source_version</t>
  </si>
  <si>
    <t>f09_provenance</t>
  </si>
  <si>
    <t>f10_authority_role</t>
  </si>
  <si>
    <t>f11_use_conditions</t>
  </si>
  <si>
    <t>DATASET</t>
  </si>
  <si>
    <t>0.1</t>
  </si>
  <si>
    <t>EFX_Figure_Set_Manifest_v0.1.json from Wave H.</t>
  </si>
  <si>
    <t>SUPPORTING</t>
  </si>
  <si>
    <t>Attribute CERBERUS; public reuse terms not established by this workbook.</t>
  </si>
  <si>
    <t>Wave A baseline</t>
  </si>
  <si>
    <t>Pre-Wave-A workbook baseline; existing 33 Tables and 382 Fields.</t>
  </si>
  <si>
    <t>Preserve provenance and distinguish source assertions from measured capabilities.</t>
  </si>
  <si>
    <t>Graph Assembly Fabric architecture. Current approved pass mapping and sandbox policy take precedence.</t>
  </si>
  <si>
    <t>CONVERSATION</t>
  </si>
  <si>
    <t>Digest reconstructed from approved Passes 3–5 and Wave planning; consult conversation for exact wording.</t>
  </si>
  <si>
    <t>📄🧩 Content Items</t>
  </si>
  <si>
    <t>5 — Content Kind</t>
  </si>
  <si>
    <t>6 — Parent Item</t>
  </si>
  <si>
    <t>7 — Content Order</t>
  </si>
  <si>
    <t>8 — Text</t>
  </si>
  <si>
    <t>9 — Scope and Qualifications</t>
  </si>
  <si>
    <t>10 — Basis</t>
  </si>
  <si>
    <t>11 — Acceptance Criteria</t>
  </si>
  <si>
    <t>f05_content_kind</t>
  </si>
  <si>
    <t>f06_parent_item</t>
  </si>
  <si>
    <t>f07_content_order</t>
  </si>
  <si>
    <t>f08_text</t>
  </si>
  <si>
    <t>f09_scope_and_qualifications</t>
  </si>
  <si>
    <t>f10_basis</t>
  </si>
  <si>
    <t>f11_acceptance_criteria</t>
  </si>
  <si>
    <t>CLAIM</t>
  </si>
  <si>
    <t>EFFECTS-64 declares the common root envelope. Specialist mode uses &lt;R&gt; semantic continuation. Assembly membership, graph wiring, formula details, target application, realization and global scheduling retain their named owners.</t>
  </si>
  <si>
    <t>Caption-level record reconstructed for the workbook; source candidate status retained.</t>
  </si>
  <si>
    <t>Preserve the caption meaning and stated limitations.</t>
  </si>
  <si>
    <t>EFFECTS-64 allocates B000–B063 across fourteen Reader placements. G1 and H1 occupy eight bits each; the other twelve occupy four bits each. Equal-width bit cells preserve physical proportions. The figure describes allocation, not a particular state or numeric bit-significance convention.</t>
  </si>
  <si>
    <t>Value Class describes the semantic kind of a value; Domain describes where the relationship is meaningful. Scalar over Field, Vector over Volume and Mask over Surface illustrate independent declarations. Adapter requirements remain governed by the selected contract.</t>
  </si>
  <si>
    <t>Reader resolution preserves source state while reporting meaning and validation. Effect evaluation uses that meaning under a declared procedure and runtime context. The two responsibilities have distinct outputs.</t>
  </si>
  <si>
    <t>Two SCALAR-4 values demonstrate the partial LIGHT route and APPLICATION role. Explicit weighted sums establish raw9 and raw6; source dictionaries supply their meanings. Full record validity requires the remaining declarations and context.</t>
  </si>
  <si>
    <t>The approved scalar example compares neutral shaping with gain1.5 and bias0.25, followed by clamping to the closed interval[0,1]. The shaped output reaches1 at x=0.5. This is an explicit shaping-stage contract, not a global specialist execution order.</t>
  </si>
  <si>
    <t>The same ADD and MULTIPLY BLEND words receive the same three scalar Signals under a shared domain and value contract. Changing wiring and the result port gives0.625 in Graph A and0.75 in Graph B. Compound membership and node settings remain unchanged.</t>
  </si>
  <si>
    <t>HOLD_LAST_VALID returns a previously successful final output only when eligible history exists for the exact retention key. Missing-source failures remain visible. Valid zero can be retained; a context reset clears history and produces no numeric fallback until a new successful evaluation.</t>
  </si>
  <si>
    <t>Explain how a person or AI starts, resumes, assembles, checks, and repairs a bounded document project.</t>
  </si>
  <si>
    <t>PROPOSED</t>
  </si>
  <si>
    <t>Develop prose covering the stated obligation with source support and implementation boundaries.</t>
  </si>
  <si>
    <t>Paper explains rules; workbook owns exact schema; project package supplies referenced bytes; website provides orientation and distribution.</t>
  </si>
  <si>
    <t>Distinguish Projects, Pass Definitions and Runs, Instructions, artifact identities, exact revisions, requirements, outputs, placements, Checks, Issues, and Releases.</t>
  </si>
  <si>
    <t>Use P1 Type, P2 Govern, P3 Content and Spine, P4 Figures, P5 Assets, P6 Build, P7 Compose, P8 Verify.</t>
  </si>
  <si>
    <t>Trace evidence to content; content to figures; requirements to files; components to assemblies; placements to documents; Checks to repairs; outputs to reuse.</t>
  </si>
  <si>
    <t>Document Plans own ordered HEADER, CONTINUANCE, and FIGURE placements. Separate Templates, Slots, Rulesets, Rules, and Themes.</t>
  </si>
  <si>
    <t>Preserve transform economy and exact source revisions. Separate Theme retrieval filters from enabled generation guidance; sandbox has no human approval gate.</t>
  </si>
  <si>
    <t>Record expectation and observation, repair at the owner, assess Dependencies, rebuild affected outputs, and preserve recheck evidence.</t>
  </si>
  <si>
    <t>Separate temporary project work from reusable library material; promotion requires provenance, compatibility, actual destination, and persistent identity.</t>
  </si>
  <si>
    <t>Distinguish reconstructed EFFECTS history from this prospectively registered project. Claim completed self-use only after actual execution evidence exists.</t>
  </si>
  <si>
    <t>Specify orientation, start procedure, Table explorer, examples, paired downloads, implementation status, and trial history for a later site build.</t>
  </si>
  <si>
    <t>After 1 EFFECTS paper troubleshoot and PATCH; after 3 inspect patterns and shared pools; after 8 check outliers; after 15 audit the bundle. Define the exact 15-member trial manifest before counting. This paper is a preliminary self-use exercise.</t>
  </si>
  <si>
    <t>Authored cohesive section prose.</t>
  </si>
  <si>
    <t>OctoGroove is a method for constructing documents from explicit, inspectable project state. It separates the meaning of a paper, the explanatory obligations of its figures, the ingredients needed to build those figures, and the ordered placements used to compose the document. The accompanying workbook makes these decisions addressable through Tables, Fields, records and revision links. This paper describes the operational arrangement and uses that arrangement to construct itself. [1–3]
The intended reader is an author, researcher or builder who needs a repeatable process for a technical paper with reusable visual material. The immediate deliverable is a document candidate and its operational record. The longer-term objective is cumulative improvement: later papers should be able to reuse compatible definitions, assets and repairs without reconstructing every earlier decision from conversation.
The system is an explicit construction method, not a guarantee that content is true or that all recorded procedures already have an automated executor. A valid reference shows that a target exists. A successful semantic check must separately establish that the target supports the intended claim. A rendered-page check must separately establish that the reader can see and interpret the result.
This candidate consolidates the earlier Graph Assembly Fabric architecture around the current workbook. Where the earlier paper assigns different responsibilities to numbered Passes, the current Pass Definitions govern this implementation. Likewise, HEADER now emits a heading only; prose occupies CONTINUANCE placements. Earlier proposals for particular hosting services, live asset routing and human-gated generation are not prerequisites for this offline sandbox workflow. [1,2]
The present scope includes a twelve-section paper, seven numbered figures, a worked-example workbook and an existing starter reference. Website publication and the EFFECTS trial programme follow later. No speed, cost or quality improvement is claimed as a measured result before those trials.</t>
  </si>
  <si>
    <t>Pass 7 candidate synthesis; planned capabilities and illustrative examples explicitly qualified.</t>
  </si>
  <si>
    <t>DERIVED</t>
  </si>
  <si>
    <t>Preserve current workbook semantics, evidence boundaries and the approved section obligation.</t>
  </si>
  <si>
    <t>The paper is the readable explanation of the method. The workbook is the operational surface for a particular build: it stores decisions, links, checks and handoffs. Physical documents, images, source files and evidence remain separate files. A File Revision records their identity, location and hash; it does not place their bytes inside a spreadsheet cell. Figure OG-F01 shows these distinct responsibilities. [1,3]
The starter provides a starting structure, field instructions and reusable definitions. The worked example provides inspectable records showing how the structure is populated. Cloning a project means retaining the relevant reference definitions, assigning identities to new project-owned material and clearing execution outcomes that did not occur in the new project. Copying a completed check must never imply that its result applies to new inputs.
For offline use, extract the package at one operational root and resolve each Local Path relative to that root. Keep the workbook and its physical dependencies together when moving the package. An Online URL is an optional route, not proof that the file is available offline. Recheck file existence and hashes against the recorded File Revisions after transfer.
The current worked workbook supports record lookup and validation through row 1200. The older starter reference retains its row 600 capacity. A matched public starter/worked release must align these capacities and repeat clone and empty-state checks. Native desktop Excel execution remains pending; the current evidence covers exported structures and local Reader behavior. [3]
The Reader can resolve a selected link and display the destination fields. That is useful operational behavior, but it does not execute an Assembly Instruction, fetch every external file, or prove that a production document compiler exists. Those actions require an operator or an explicitly implemented executor.</t>
  </si>
  <si>
    <t>A Table identifies a class of records. A Field Number identifies a slot within that Table. The compact notation is “Table – Field Number – Field Type – Description”. A field address is therefore not a record identity: T25 Field 6 names the Template slot on Document Plans, while OG-PLAN names one particular plan. The full schema contains 33 Tables and 382 Fields. [1]
The canonical compact symbols remain in the workbook Table Dictionary and Field Dictionary. This paper and its figures use the declared fallback of Table ID plus readable name where emoji rendering is unreliable. This preserves the exact mapping without substituting a new visual vocabulary. Field numbers remain local to their Table; the same number in another Table does not imply the same meaning.
A Record ID identifies a particular row. A Record Revision identifies a versioned payload and records its Artifact ID, revision number, producing run and evidence origin. Artifact identity can persist across revisions; the payload record for an old revision remains available. A File Revision additionally identifies concrete bytes through its path, media type, size and SHA-256 value.
When content changes, create a new versioned payload and connect it to the previous revision. Do not silently overwrite historical meaning and keep the same evidence claim. Mutable run status is a separate operational concern: marking a run complete records progress, while replacing a source assertion requires revision provenance.
Evidence origin and example status answer different questions. CONTEMPORANEOUS identifies material recorded during the current activity; IMPORTED identifies brought-in material; RECONSTRUCTED identifies history assembled from retained evidence. A DEMO can be created contemporaneously and still illustrate only expected behavior. Neither label establishes that a repair, promotion or generation job was executed.</t>
  </si>
  <si>
    <t>The eight Passes allocate decision ownership. Each Pass consumes inspectable inputs and produces an inspectable output. The Pass Definition is reusable; a Pass Run records one execution in a project. Run Artifacts identify the exact revisions consumed or produced by that run. The current allocation below is taken from the operational workbook. [1]
Pass 1 — Type: classify audience, artifact kind and intended use. Output: Document Type Declaration. Pass 2 — Govern: bind writing, formatting, scope and verification requirements. Output: Document Contract.
Pass 3 — Content: establish meaning, boundaries, claims and the ordered Document Spine in Document Plans and Document Placements. Output: Content Map. Pass 4 — Figures: assign explanatory obligations, encodings and misleading implications to prevent. Output: Figure Contracts.
Pass 5 — Assets: identify stable ingredient roles and how to obtain them. Output: Asset Requirements. Pass 6 — Build: build in project-specific Waves and check semantic and visual correctness separately. Output: Figure Set and Production QA.
Pass 7 — Compose: compose resolved text and figures and render actual pages. Output: Document Candidate. Pass 8 — Verify: compare the rendered candidate against contracts, route defects to the earliest owner and recheck repairs. Output: Verified Release and QA.
A Wave is a bounded portion of a build, not a new global Pass definition. Its ordering follows actual dependencies: a figure can be built when its required ingredients are available, while independent branches need not wait for unrelated work. Missing inputs, contradictory requirements and cycles must be resolved before dependent execution.
In this sandbox, routine work proceeds without a human approval gate. Inspectability, explicit outcomes and repair routing still apply. A meaning defect returns to Pass 3; a misleading visual obligation to Pass 4; an ingredient problem to Pass 5; execution to Pass 6; placement or pagination to Pass 7; final release review to Pass 8. Repeating every Pass is unnecessary when the affected scope is known.</t>
  </si>
  <si>
    <t>The graph has two principal construction paths. Sources support Content Items through Source Support records. Content obligations inform Figure Contracts, whose Figure Requirements refer to Asset Requirements. Requirement Fulfillment binds selected files to those requirements. Completed Figure Outputs and Content Items then converge in Document Placements under a Document Plan. Figure OG-F02 distinguishes these stored relationships from the procedures that produce new outputs. [1,3]
A relationship does not itself perform a transformation. “This file fulfills this requirement” is a recorded selection that must be justified by checks. “Build the figure from the selected files” describes work. “Find all slots whose Template equals this template” is a reverse query. These three statements must not be drawn or read as interchangeable executable links.
For a concrete Reader traversal, select Document Plans record PLAN-EFX and link Field 6. It resolves TPL-TECH in Templates. Read Templates Field 6 for the Assembly Instructions. Then search Template Slots for rows whose Field 5 Template equals TPL-TECH. The matching HEADER, CONTINUANCE and FIGURE slots are found by that reverse lookup, not by an outgoing slot-list field on the Template. Figure OG-F03 preserves this exact distinction.
The instruction is to read the Document Plan, sort its placements by Position ascending, resolve each typed Slot and content or figure link, and emit once in that order without reauthoring source meaning. An executor must implement that behavior explicitly. The Reader supplies the referenced instruction and data; displaying the instruction is not evidence that assembly ran.
Before assembly, reject missing targets, duplicate positions within the plan, incompatible slot types and placements with both or neither payload link. Each figure placement must resolve a completed output with the expected caption and alternative text. A dependency edge should identify the consumed revision and the scope that makes a future upstream change relevant.</t>
  </si>
  <si>
    <t>The Document Spine is the ordered set of placements belonging to one plan. HEADER emits the section heading from a Content Item. CONTINUANCE emits prose without opening another section. FIGURE emits its linked Figure Output. Each placement carries a positive Position and a Section Anchor; each resolves the corresponding typed Template Slot. Figure OG-F04 demonstrates the expected five-placement sequence. [1,3]
Content and figure payloads are exclusive. A CONTENT placement carries a Content Item and no Figure Output. A FIGURE placement carries a Figure Output and no Content Item. The Spine Type refines content behavior into HEADER or CONTINUANCE; it is checked against the slot rather than inferred from the first sentence.
Position controls emission order, while a Section Anchor identifies logical membership. Sparse positions allow later prose or figures to be inserted without renumbering existing identities. The paper uses the approved headings at 100 through 1200 and retains the seven figure positions from the composition manifest. New prose occupies separate CONTINUANCE placements between those anchors.
Presentation remains a contract. Templates and Slots own placement behavior; Rulesets and Rules constrain allowed behavior; Themes provide visual vocabulary and optional generation guidance. None of these may silently revise a semantic claim. If a figure does not fit, change layout or route the issue to its owner rather than cropping evidence or shrinking labels until they become unreadable.
The seven source figures are placed at 6.5-inch width with their original proportions. The two tallest require dedicated pages. Captions and alternative text travel with the selected outputs. Actual page rendering is required because valid records cannot predict every font substitution, line wrap or page break in a Word document.</t>
  </si>
  <si>
    <t>An Asset Requirement states the role an ingredient must satisfy. A file is a candidate until selection and checking establish its suitability. Requirement Fulfillment records that binding; Figure Requirements associate ingredient roles with a figure. This keeps an available file from being mistaken for a satisfied obligation merely because its name looks relevant. [1]
Retrieval and generation use different parts of a Theme. Include and Exclude constrain the retrieval surface. The generation readback combines the local requirement, applicable Rules, relevant exclusions and Theme Added Details only when Apply to Image Generation is enabled. Theme Include terms are not automatically copied into prompt prose. Applicable Rules retain precedence over optional Theme guidance. [2,3]
Figure OG-F05 compares reuse with an unmet requirement and shows paired readbacks with Theme Added Details disabled and enabled. In the paired cases, the Added Details contribution changes while retrieval filters persist. The recorded requests have no generation result files. They demonstrate contract compilation, not a completed image-generation service.
Before executing a request, inspect the resolved readback for contradictions, missing qualifications and inappropriate content. If a recurring error originates in a Rule or Theme, revise that owning definition and recompile affected requests. A local exception belongs in the local requirement when it does not generalize.
After actual execution, retain the exact input revisions, request text, result file identity and checks. A generated file must still pass the figure obligation and rendering checks. Precise labels, graph topology and field mappings should be produced with tools that preserve exact structure; decorative generative output does not establish technical correctness.</t>
  </si>
  <si>
    <t>Verification is divided by what the check can establish. Structural checks inspect required fields and valid types. Link checks resolve references. Semantic checks compare meaning with source and contract. Visual checks inspect the rendered result. Offline checks inspect physical availability. Clone checks inspect retained definitions and cleared project state. A PASS in one category is not a PASS in every category. [1,3]
A check records its target revision, instruction, executing run, expected result, observed result and evidence. Record a failure as a failure. Open an Issue describing the defect and its scope; identify the earliest owning input; create the required revision; assess downstream dependencies; repair affected outputs; and run the relevant checks again. Figure OG-F06 illustrates this sequence without claiming that its demonstration is a live repair history.
Selective PATCH depends on explicit scope. When a source revision changes, review the edges that consumed that revision. An output affected by the changed label or meaning needs repair or a documented reassessment. An independent branch should retain its identity and evidence. History is preserved by retaining the earlier revisions and earlier check results.
File integrity is independently inspectable: resolve the relative path, read the bytes and compare their hash and size with the File Revision. A correct hash establishes byte identity, not semantic quality. Likewise, a link that resolves to the wrong conceptual source is structurally valid but semantically defective.
For this paper, Pass 7 performs composition and page inspection. Pass 8 remains the final consistency and release review. Native desktop Excel execution and later website behavior are still separate pending checks. The current candidate must not be labeled a verified release merely because its source figures already passed Pass 6.</t>
  </si>
  <si>
    <t>Reuse begins with compatibility, provenance and use conditions. A later project can reference a suitable Template, Rule, Theme, component or file revision. It must still check the new use against its own scope. A technically reusable asset is not automatically authorized for every public use. Source use conditions remain part of the decision. [1,2]
Asset identity and lifecycle are separate. Reversible placement operations such as scaling, rotation, alignment and opacity normally preserve source identity. A materially new derivative that must be addressed independently receives its own identity and derivation provenance. Creating that derivative does not automatically promote it to a shared pool.
The lifecycle distinguishes project-only, candidate, promoted and archived material. Candidate status records an intention for review. Completed promotion requires an actual destination and persistent identity. It is not established by changing a label while leaving the file in temporary project storage. Figure OG-F07 shows three illustrative projects and this promotion boundary.
Shared pools should contain useful stable material, not every transient intermediate. Preserve enough provenance to rebuild or assess the promoted object. Archive project-specific evidence where it is needed to explain a result. A later improvement to a shared object should create a new revision and trigger scoped review of consumers rather than silently altering their inputs.
The expected benefit is less repeated reconstruction of resolved decisions. That remains an architectural expectation until trials measure it. The three demonstration projects in Figure OG-F07 count as zero completed EFFECTS trials. Patterns, exceptions and proposed pool combinations will be assessed at the actual trial milestones.</t>
  </si>
  <si>
    <t>This paper is the current self-application project OG-PROJECT. Its plan is OG-PLAN. The approved spine contains twelve HEADER placements, and Pass 6 supplies seven Figure Outputs with checked assets, captions and alternative text. Pass 7 adds the prose as distinct CONTINUANCE records and composes a Word candidate from the ordered placements. [1,3]
To inspect it, open the worked workbook, locate OG-PROJECT and follow the active Pass Run. Inspect its Run Artifacts for exact input and output revisions. In Document Placements, select OG-PLAN and sort by Position. Resolve a HEADER to its heading Content Item, a CONTINUANCE to its prose, and a FIGURE to its Figure Output. Then resolve the selected physical file and compare it with the rendered paper.
The workbook also contains historical EFFECTS material reconstructed from retained artifacts. Those records are useful reference examples but do not constitute a full contemporaneous execution transcript. Their physical files are outside the current OctoGroove asset-byte audit and may require the original EFFECTS package. Keep that boundary visible when teaching offline use.
This composition is an implemented local build for the present plan. It establishes a concrete path from registered content and figure placements to this document. It does not establish a general renderer for every possible Template, arbitrary workbook schema or external media service. The reproducible build source and check evidence let later work extend that capability without changing the meaning of what has already been demonstrated.
A practical first trial should follow the same inspection route on a new paper, recording every point where instructions are missing, a field is ambiguous, an asset cannot be found or a rendered result diverges from its contract. These observations become the first revision backlog.</t>
  </si>
  <si>
    <t>The website is a later distribution and explanation surface. It should orient a reader to the method, provide the paper and companion workbooks, and explain how to extract and operate the offline package. An optional Airtable mirror graph can demonstrate table links and traversal without becoming a required dependency for the operational workbook.
Before publication, prepare a matched starter/worked pair, verify downloadable bytes and relative paths, and state which parts are examples, implemented operations or planned extensions. Each download should identify its version and accompanying instructions. Public source and asset use conditions must be resolved for the actual files being distributed.
The site should preserve the same identity vocabulary as the paper and workbook. A Table ID, field address, record link and file download have different destinations; the interface should make those differences visible. Demonstrating a traversal must not imply that the site executes the procedure described by the destination record.
No website behavior is claimed by this candidate. The paper and workbook become source material for the Sites stage after paper review. Website navigation, downloads, accessibility and mirror behavior must then be tested in that environment.</t>
  </si>
  <si>
    <t>The trial programme evaluates the method through actual EFFECTS paper upgrades. Count completed papers, not figure demonstrations or partial builds. Review at cumulative totals of 1, 3, 8 and 15 papers. The OctoGroove self-application and illustrative reuse projects do not silently consume those EFFECTS milestones.
After 1 paper, troubleshoot the complete route and PATCH immediate usability failures. Record missing instructions, ambiguous fields, broken links, unavailable files, rendering defects and any manual step that lacks an explicit owner. Recheck the repaired path before treating the correction as reusable.
After 3 papers, compare repeated construction work. Identify compatible definitions and assets that could share a pool, while retaining meaningful differences in scope and use conditions. A proposed combination should name its consumers, identity rules and migration consequences before it replaces separate assets.
After 8 papers, inspect outliers. Look for special cases that reveal a missing general rule, and for exceptions that should remain local. Compare the outlier against the existing contract before widening the schema or weakening a check.
After all 15 EFFECTS papers, audit the system as a cohesive bundle: identities, revision history, dependencies, reuse, evidence and physical availability. Confirm that each paper can be traced to its inputs and that shared changes have been assessed across consumers.
At each milestone retain the evaluated paper set, observed failure patterns, proposed changes, affected dependencies and recheck results. Measures can include unresolved issues, repeat repairs, unavailable files and avoidable reconstruction steps, provided their counting rules are recorded consistently. These are planned evaluations; this candidate reports no completed trial statistics.</t>
  </si>
  <si>
    <t>🖼️📋 Figure Contracts</t>
  </si>
  <si>
    <t>5 — Figure Role ID</t>
  </si>
  <si>
    <t>6 — Reader Question</t>
  </si>
  <si>
    <t>7 — Must Show</t>
  </si>
  <si>
    <t>8 — Must Not Imply</t>
  </si>
  <si>
    <t>9 — Visual Encoding</t>
  </si>
  <si>
    <t>10 — Caption Requirements</t>
  </si>
  <si>
    <t>f05_figure_role_id</t>
  </si>
  <si>
    <t>f06_reader_question</t>
  </si>
  <si>
    <t>f07_must_show</t>
  </si>
  <si>
    <t>f08_must_not_imply</t>
  </si>
  <si>
    <t>f09_visual_encoding</t>
  </si>
  <si>
    <t>f10_caption_requirements</t>
  </si>
  <si>
    <t>F01</t>
  </si>
  <si>
    <t>What relationship does F01 establish?</t>
  </si>
  <si>
    <t>No whole-system runtime conformance or resolution of open source issues.</t>
  </si>
  <si>
    <t>Preserve approved SVG and its explanatory labels.</t>
  </si>
  <si>
    <t>Match caption and source semantics; all labels legible.</t>
  </si>
  <si>
    <t>F02</t>
  </si>
  <si>
    <t>What relationship does F02 establish?</t>
  </si>
  <si>
    <t>F03</t>
  </si>
  <si>
    <t>What relationship does F03 establish?</t>
  </si>
  <si>
    <t>F04</t>
  </si>
  <si>
    <t>What relationship does F04 establish?</t>
  </si>
  <si>
    <t>F05</t>
  </si>
  <si>
    <t>What relationship does F05 establish?</t>
  </si>
  <si>
    <t>F06</t>
  </si>
  <si>
    <t>What relationship does F06 establish?</t>
  </si>
  <si>
    <t>F07</t>
  </si>
  <si>
    <t>What relationship does F07 establish?</t>
  </si>
  <si>
    <t>F08</t>
  </si>
  <si>
    <t>What relationship does F08 establish?</t>
  </si>
  <si>
    <t>Planned placement after section OG-S02.</t>
  </si>
  <si>
    <t>Which files and records operate OctoGroove?</t>
  </si>
  <si>
    <t>Paper, starter clone, project workbook, worked reference, physical package, and website responsibilities.</t>
  </si>
  <si>
    <t>References do not embed files; website capability is separately declared.</t>
  </si>
  <si>
    <t>Use OG-A03 and OG-A04; dark background, high contrast, labels independent of colour; editable vector source.</t>
  </si>
  <si>
    <t>Explain the relationship and its material implementation qualification.</t>
  </si>
  <si>
    <t>Paper, starter clone, project workbook, worked reference, physical package, and website responsibilities. References do not embed files; website capability is separately declared. Legible at actual placement size.</t>
  </si>
  <si>
    <t>Planned placement after section OG-S05.</t>
  </si>
  <si>
    <t>How do content and figures reach the document?</t>
  </si>
  <si>
    <t>Content path and figure path through registered junctions; convergence at placements; Plan and Template ownership.</t>
  </si>
  <si>
    <t>Every edge is a real link or labelled procedure; arrow direction is explicit.</t>
  </si>
  <si>
    <t>Content path and figure path through registered junctions; convergence at placements; Plan and Template ownership. Every edge is a real link or labelled procedure; arrow direction is explicit. Legible at actual placement size.</t>
  </si>
  <si>
    <t>How is the next bounded instruction resolved?</t>
  </si>
  <si>
    <t>PLAN-EFX Field 6 to TPL-TECH; Template Field 6 instruction; Slot reverse lookup.</t>
  </si>
  <si>
    <t>Reader displays instructions; it does not execute them.</t>
  </si>
  <si>
    <t>PLAN-EFX Field 6 to TPL-TECH; Template Field 6 instruction; Slot reverse lookup. Reader displays instructions; it does not execute them. Legible at actual placement size.</t>
  </si>
  <si>
    <t>Planned placement after section OG-S06.</t>
  </si>
  <si>
    <t>How does ordered placement determine emission?</t>
  </si>
  <si>
    <t>Five DEMO placements: HEADER, CONTINUANCE, FIGURE, CONTINUANCE, HEADER; matching Slots and payloads.</t>
  </si>
  <si>
    <t>Expected emission is illustrative; Header and prose occupy separate placements.</t>
  </si>
  <si>
    <t>Five DEMO placements: HEADER, CONTINUANCE, FIGURE, CONTINUANCE, HEADER; matching Slots and payloads. Expected emission is illustrative; Header and prose occupy separate placements. Legible at actual placement size.</t>
  </si>
  <si>
    <t>Planned placement after section OG-S07.</t>
  </si>
  <si>
    <t>How do reuse, Rules, and Theme channels shape selection?</t>
  </si>
  <si>
    <t>Reuse path; unmet requirement path; fixed local requirement with Theme generation disabled and enabled.</t>
  </si>
  <si>
    <t>No fabricated generation results; retrieval filters remain active; no human sandbox gate.</t>
  </si>
  <si>
    <t>Reuse path; unmet requirement path; fixed local requirement with Theme generation disabled and enabled. No fabricated generation results; retrieval filters remain active; no human sandbox gate. Legible at actual placement size.</t>
  </si>
  <si>
    <t>Planned placement after section OG-S08.</t>
  </si>
  <si>
    <t>What changes when an input revision changes?</t>
  </si>
  <si>
    <t>Scoped dependencies, defect, new input revision, impact review, repaired outputs and rechecks, independent branch.</t>
  </si>
  <si>
    <t>Semantic staleness needs assessment; preserve history; no automatic semantic propagation claim.</t>
  </si>
  <si>
    <t>Scoped dependencies, defect, new input revision, impact review, repaired outputs and rechecks, independent branch. Semantic staleness needs assessment; preserve history; no automatic semantic propagation claim. Legible at actual placement size.</t>
  </si>
  <si>
    <t>Planned placement after section OG-S09.</t>
  </si>
  <si>
    <t>How does project work improve future construction?</t>
  </si>
  <si>
    <t>Three illustrative projects; shared pool; PROJECT ONLY, REUSABLE CANDIDATE, PROMOTED, ARCHIVED; transform and derivative comparison.</t>
  </si>
  <si>
    <t>Promotion needs real destination and identity; illustrative trials do not count as EFFECTS papers.</t>
  </si>
  <si>
    <t>Three illustrative projects; shared pool; PROJECT ONLY, REUSABLE CANDIDATE, PROMOTED, ARCHIVED; transform and derivative comparison. Promotion needs real destination and identity; illustrative trials do not count as EFFECTS papers. Legible at actual placement size.</t>
  </si>
  <si>
    <t>🧰📋 Asset Requirements</t>
  </si>
  <si>
    <t>5 — Asset Role ID</t>
  </si>
  <si>
    <t>6 — Asset Kind</t>
  </si>
  <si>
    <t>7 — Semantic Requirements</t>
  </si>
  <si>
    <t>8 — Technical Requirements</t>
  </si>
  <si>
    <t>9 — Acquisition Instructions</t>
  </si>
  <si>
    <t>10 — Reuse Conditions</t>
  </si>
  <si>
    <t>f05_asset_role_id</t>
  </si>
  <si>
    <t>f06_asset_kind</t>
  </si>
  <si>
    <t>f07_semantic_requirements</t>
  </si>
  <si>
    <t>f08_technical_requirements</t>
  </si>
  <si>
    <t>f09_acquisition_instructions</t>
  </si>
  <si>
    <t>f10_reuse_conditions</t>
  </si>
  <si>
    <t>Preserve authoritative inputs, locators, units, and qualifications.</t>
  </si>
  <si>
    <t>Portable structured data or source extract with provenance.</t>
  </si>
  <si>
    <t>Copy this role with a new ID. Bind the project-specific Figure Contract and exact selected file revision.</t>
  </si>
  <si>
    <t>Confirm source permissions and preserve attribution.</t>
  </si>
  <si>
    <t>Project-specific contract satisfied; file readable and provenance recorded.</t>
  </si>
  <si>
    <t>STYLE</t>
  </si>
  <si>
    <t>Define meaning of colors, shapes, arrows, labels, and addresses.</t>
  </si>
  <si>
    <t>Text specification that can be reused by each figure.</t>
  </si>
  <si>
    <t>VECTOR</t>
  </si>
  <si>
    <t>Implement the figure contract with editable named components.</t>
  </si>
  <si>
    <t>SVG or equivalent editable vector source.</t>
  </si>
  <si>
    <t>RASTER</t>
  </si>
  <si>
    <t>Match the approved editable source without semantic changes.</t>
  </si>
  <si>
    <t>PNG with dimensions sufficient for legible document placement.</t>
  </si>
  <si>
    <t>Show actual composed pages for visual review.</t>
  </si>
  <si>
    <t>Page PNGs or a paginated PDF matching the candidate revision.</t>
  </si>
  <si>
    <t>F01-svg</t>
  </si>
  <si>
    <t>SVG editable source.</t>
  </si>
  <si>
    <t>Reuse preserved approved file, then review any replacement.</t>
  </si>
  <si>
    <t>Preserve provenance; confirm publication terms separately.</t>
  </si>
  <si>
    <t>Exact retained hash for reproduction; semantic and visual review for any new revision.</t>
  </si>
  <si>
    <t>F01-png</t>
  </si>
  <si>
    <t>2400 x 1995 pixel PNG.</t>
  </si>
  <si>
    <t>F02-svg</t>
  </si>
  <si>
    <t>F02-png</t>
  </si>
  <si>
    <t>2400 x 1890 pixel PNG.</t>
  </si>
  <si>
    <t>F03-svg</t>
  </si>
  <si>
    <t>F03-png</t>
  </si>
  <si>
    <t>F04-svg</t>
  </si>
  <si>
    <t>F04-png</t>
  </si>
  <si>
    <t>2400 x 2055 pixel PNG.</t>
  </si>
  <si>
    <t>F05-svg</t>
  </si>
  <si>
    <t>F05-png</t>
  </si>
  <si>
    <t>2400 x 1950 pixel PNG.</t>
  </si>
  <si>
    <t>F06-svg</t>
  </si>
  <si>
    <t>F06-png</t>
  </si>
  <si>
    <t>F07-svg</t>
  </si>
  <si>
    <t>F07-png</t>
  </si>
  <si>
    <t>2000 x 1763 pixel PNG.</t>
  </si>
  <si>
    <t>F08-svg</t>
  </si>
  <si>
    <t>F08-png</t>
  </si>
  <si>
    <t>2000 x 1713 pixel PNG.</t>
  </si>
  <si>
    <t>Selected exact Table symbols, numbered Fields, types, targets and directions.</t>
  </si>
  <si>
    <t>Portable UTF-8 JSON or text for references; editable SVG for drawing components.</t>
  </si>
  <si>
    <t>Extract from pinned workbook; verify against Field Dictionary.</t>
  </si>
  <si>
    <t>Pin source revisions and preserve semantic meaning.</t>
  </si>
  <si>
    <t>Every consumed requirement traceable and no fabricated implementation claims.</t>
  </si>
  <si>
    <t>Exact PLAN-EFX, TPL-TECH, Slots, Ruleset, Theme, GEN-F01, COMP-F01 and LIFE-F01 with linked dependencies.</t>
  </si>
  <si>
    <t>Extract pinned baseline records; preserve IDs; new examples use DEMO-.</t>
  </si>
  <si>
    <t>Dark background; readable names with symbols; solid stored links, dashed procedures, labelled reverse lookups and statuses.</t>
  </si>
  <si>
    <t>Create reusable text notation and verify at intended size in Wave B.</t>
  </si>
  <si>
    <t>Editable Table nodes, Record rows, Field labels, arrows, file markers and legends.</t>
  </si>
  <si>
    <t>Build from notation in Wave B; retain identity for placement transforms.</t>
  </si>
  <si>
    <t>Evidence-backed workbook capabilities versus specified executor behavior.</t>
  </si>
  <si>
    <t>Build initial reference in Wave A and extend only with measured evidence.</t>
  </si>
  <si>
    <t>TEXT</t>
  </si>
  <si>
    <t>Exact titles, labels, captions, alternative text and qualifications.</t>
  </si>
  <si>
    <t>Build initial text in Wave B; reconcile with each contract.</t>
  </si>
  <si>
    <t>Bounded JSON records and relationship list; mark illustrative records DEMO-.</t>
  </si>
  <si>
    <t>Resolve exact source links before constructing the figure; prepare controlled examples in its assigned Wave.</t>
  </si>
  <si>
    <t>Preserve source provenance and distinguish illustration from execution.</t>
  </si>
  <si>
    <t>📎🔢 File Revisions</t>
  </si>
  <si>
    <t>5 — File Kind</t>
  </si>
  <si>
    <t>6 — Local Path</t>
  </si>
  <si>
    <t>7 — Online URL</t>
  </si>
  <si>
    <t>8 — Media Type</t>
  </si>
  <si>
    <t>9 — SHA-256</t>
  </si>
  <si>
    <t>10 — Byte Size</t>
  </si>
  <si>
    <t>11 — Provenance</t>
  </si>
  <si>
    <t>12 — Reproduction Instructions</t>
  </si>
  <si>
    <t>13 — Availability</t>
  </si>
  <si>
    <t>f05_file_kind</t>
  </si>
  <si>
    <t>f06_local_path</t>
  </si>
  <si>
    <t>f07_online_url</t>
  </si>
  <si>
    <t>f08_media_type</t>
  </si>
  <si>
    <t>f09_sha_256</t>
  </si>
  <si>
    <t>f10_byte_size</t>
  </si>
  <si>
    <t>f11_provenance</t>
  </si>
  <si>
    <t>f12_reproduction_instructions</t>
  </si>
  <si>
    <t>f13_availability</t>
  </si>
  <si>
    <t>DATA</t>
  </si>
  <si>
    <t>effects_wave_h/EFX_Figure_Set_Manifest_v0.1.json</t>
  </si>
  <si>
    <t>application/json</t>
  </si>
  <si>
    <t>55f3bbc0a0bb4fb702019ecfafa2a1cba92dea919785fdbd859baf7c2769a8cc</t>
  </si>
  <si>
    <t>Existing EFFECTS-64 artifact; registered for this worked example.</t>
  </si>
  <si>
    <t>Restore file at Local Path relative to package root. See source production scripts and retained QA. Files are external to this workbook.</t>
  </si>
  <si>
    <t>effects_pass8/CERBERUS_EFFECTS64_Candidate_Specification_v0.1.docx</t>
  </si>
  <si>
    <t>application/vnd.openxmlformats-officedocument.wordprocessingml.document</t>
  </si>
  <si>
    <t>39f0818509f8e5c2725de3432be382b1a873aa4c1131fc9464ae0477a25be39b</t>
  </si>
  <si>
    <t>FIGURE</t>
  </si>
  <si>
    <t>effects_wave_c/EFX_F01_Common_Effect_Contract_v0.1.svg</t>
  </si>
  <si>
    <t>image/svg+xml</t>
  </si>
  <si>
    <t>6c4ddcb17a040bc4fb213a5603595a4e4d88dec9a020fd4c2c2a5fc4ed12cc84</t>
  </si>
  <si>
    <t>effects_wave_c/EFX_F01_Common_Effect_Contract_v0.1.png</t>
  </si>
  <si>
    <t>image/png</t>
  </si>
  <si>
    <t>43e8867fa68bf539e1b92c57910d54e4477d4a1392b5f15826ee1a0e267f149b</t>
  </si>
  <si>
    <t>effects_wave_b/EFX_F02_Physical_Allocation_v0.1.svg</t>
  </si>
  <si>
    <t>b3a50c9c73f45c4a08fcd722fd7439832326bcdba01d323bd187cf6d52a07448</t>
  </si>
  <si>
    <t>effects_wave_b/EFX_F02_Physical_Allocation_v0.1.png</t>
  </si>
  <si>
    <t>f10f250ffaad2667380e699d9815bceed5e66a62031542a1b3782cb78777bf18</t>
  </si>
  <si>
    <t>effects_wave_c/EFX_F03_Value_Class_and_Domain_v0.1.svg</t>
  </si>
  <si>
    <t>f481cac2f5f84a4cc1af02e5e7b2b899c3d325d9f656c0e912aacae6061dfd3f</t>
  </si>
  <si>
    <t>effects_wave_c/EFX_F03_Value_Class_and_Domain_v0.1.png</t>
  </si>
  <si>
    <t>66f99048f65d84769d331aab4be38f110af819dacbc16772e17a6911adaf339c</t>
  </si>
  <si>
    <t>effects_wave_d/EFX_F04_Reader_and_Evaluation_v0.1.svg</t>
  </si>
  <si>
    <t>ef411289e6a97ec934d9c22bb23f142e85bfe65f0732cbe3c040e39b3ccbda9a</t>
  </si>
  <si>
    <t>effects_wave_d/EFX_F04_Reader_and_Evaluation_v0.1.png</t>
  </si>
  <si>
    <t>cc60c99cccbf9e520922d56952ca00f0526bddd0bc9e4ba1a9191e5075829045</t>
  </si>
  <si>
    <t>effects_wave_d/EFX_F05_Partial_LIGHT_Trace_v0.1.svg</t>
  </si>
  <si>
    <t>6cc5dc6f3193dc5a2c26eeac93fafaf55df675e6b8796e8355b5bd51b0326a87</t>
  </si>
  <si>
    <t>effects_wave_d/EFX_F05_Partial_LIGHT_Trace_v0.1.png</t>
  </si>
  <si>
    <t>0ca943ad9cd791679f7ccca681a2c0c9edf6479f6dd5b345839ad0c3bee926d9</t>
  </si>
  <si>
    <t>effects_wave_f/EFX_F06_Gain_Bias_and_Bounds_v0.1.svg</t>
  </si>
  <si>
    <t>35e0d3382057dffefb627d03f18a154e196968f853c025e3a1c01998d8b72913</t>
  </si>
  <si>
    <t>effects_wave_f/EFX_F06_Gain_Bias_and_Bounds_v0.1.png</t>
  </si>
  <si>
    <t>eecae5bdbf63e645521d0f0301401dff7b62db2ed2a55bd163e6bed8d1b95a86</t>
  </si>
  <si>
    <t>effects_wave_f/EFX_F07_Compound_and_Graph_v0.1.svg</t>
  </si>
  <si>
    <t>3b54f5344684a5cb98f9052fe5fb537aaba9575ddbb6183b946572016e9cdd94</t>
  </si>
  <si>
    <t>effects_wave_f/EFX_F07_Compound_and_Graph_v0.1.png</t>
  </si>
  <si>
    <t>28214dc6981c8c30fe9651c5d583a3b2a5fdf4c66de5b4069c85c5ed7871bb1f</t>
  </si>
  <si>
    <t>effects_wave_g/EFX_F08_Hold_Last_Valid_v0.1.svg</t>
  </si>
  <si>
    <t>d83526aa346b9bdcccc248612653a20b6e1b05e76701722447514d0517e7bd81</t>
  </si>
  <si>
    <t>effects_wave_g/EFX_F08_Hold_Last_Valid_v0.1.png</t>
  </si>
  <si>
    <t>0f5382a8cca7a370c2ccda9ddc000c0c58d79ab9f6776dac938151c3792beedf</t>
  </si>
  <si>
    <t>outputs/octogroove_wave_a/baseline/OctoGroove_Worked_Example.xlsx</t>
  </si>
  <si>
    <t>application/vnd.openxmlformats-officedocument.spreadsheetml.sheet</t>
  </si>
  <si>
    <t>9e25e86a86d60382b0d5c59a9e869dc05168db4f0bea08a994f0c14e71c16c77</t>
  </si>
  <si>
    <t>Immutable Wave A source snapshot.</t>
  </si>
  <si>
    <t>Restore this path relative to the operational package root. The standalone workbook does not embed the file.</t>
  </si>
  <si>
    <t>outputs/octogroove_wave_a/baseline/Graph_Assembly_Fabric_v0.1.docx</t>
  </si>
  <si>
    <t>d4f54ee679cca4b65fedb98c70fa2fccb86e8af7bd7cc9e0a1278bd41bd8e203</t>
  </si>
  <si>
    <t>outputs/octogroove_wave_a/baseline/Approved_Planning_Digest.txt</t>
  </si>
  <si>
    <t>text/plain</t>
  </si>
  <si>
    <t>607470e03ed14e975d4a558f92b863d8a833ba584c808ffe040ef080e9c9c686</t>
  </si>
  <si>
    <t>outputs/octogroove_wave_a/baseline/schema.json</t>
  </si>
  <si>
    <t>2f70d003af585117a55ee1531b461a30051c25a76ddd39c54079915a5b469d8a</t>
  </si>
  <si>
    <t>outputs/octogroove_wave_a/OG-A01_Schema_Reference.json</t>
  </si>
  <si>
    <t>d6f88b67364242b0b586d49940a5f78a3ae08ff358a7d8cbebbe54bc9b77ab72</t>
  </si>
  <si>
    <t>outputs/octogroove_wave_a/OG-A02_Record_Reference.json</t>
  </si>
  <si>
    <t>d453a6e7f330d621ded0a8eb04993e7cd191901a847fbddafc38dd37ffdfe878</t>
  </si>
  <si>
    <t>outputs/octogroove_wave_a/OG-A05_Implementation_Register.json</t>
  </si>
  <si>
    <t>94a8b0926f491e751d2dd41acb44b352b8f39b995db9b6efe6f3413920e0f72f</t>
  </si>
  <si>
    <t>Wave B shared construction asset.</t>
  </si>
  <si>
    <t>outputs/octogroove_wave_b/OG-A03_Visual_Notation.json</t>
  </si>
  <si>
    <t>cb6e017490b80b0bb3683f208bb4d6f9507dedca9e5a03cdfd9f474cf0ee45c3</t>
  </si>
  <si>
    <t>Produced in OG-WAVE-B from registered requirements and pinned schema.</t>
  </si>
  <si>
    <t>Restore Wave B asset package at the operational root. JSON and SVG remain editable.</t>
  </si>
  <si>
    <t>ASSET</t>
  </si>
  <si>
    <t>outputs/octogroove_wave_b/OG-A04_Components.svg</t>
  </si>
  <si>
    <t>6ea1044b4cc1e6f87664a31da2dc174521cfc8b771d91f846405bef6a2b09965</t>
  </si>
  <si>
    <t>outputs/octogroove_wave_b/OG-A06_Figure_Text.json</t>
  </si>
  <si>
    <t>30dd8ebe0a81f1dc397eac9964218240372dbedcdbaa33cb09104d2c275dc358</t>
  </si>
  <si>
    <t>RENDER</t>
  </si>
  <si>
    <t>outputs/octogroove_wave_b/OG-A04_Construction_Sample.png</t>
  </si>
  <si>
    <t>727c698fce89039568661920cb5e33e4de898180cf129893f23d35164d58d581</t>
  </si>
  <si>
    <t>outputs/octogroove_wave_b/Component_Use.txt</t>
  </si>
  <si>
    <t>9e85998f86369d009d2cb86bafd3631074be4e2c3e95f72f1833e41c4ee1efe8</t>
  </si>
  <si>
    <t>outputs/octogroove_wave_b/Font_Check.json</t>
  </si>
  <si>
    <t>5b28bb91639a18c7318f8f6d7edccd10fa524dbb42716a5942f23fadfba1e520</t>
  </si>
  <si>
    <t>Wave C figure asset or bounded source evidence.</t>
  </si>
  <si>
    <t>outputs/octogroove_wave_c/OG-F01_Operating_Package.svg</t>
  </si>
  <si>
    <t>ffcc007de1ae195d99b51293a9c0556d35aae75d6a68d1241e134c1edbf78396</t>
  </si>
  <si>
    <t>Built in OG-WAVE-C using OG-A03 notation and adapted OG-A04 drawing components; caption and alt text from OG-A06.</t>
  </si>
  <si>
    <t>Run build_assets.py; render SVG to 1950px-wide PNG with sharp. Restore asset package at workbook operational root.</t>
  </si>
  <si>
    <t>outputs/octogroove_wave_c/OG-F01_Operating_Package.png</t>
  </si>
  <si>
    <t>1df8c8436dd12202fd097ae90080b659dbb6594f23583e177d91836f6424f1b6</t>
  </si>
  <si>
    <t>outputs/octogroove_wave_c/OG-F01_Package_Roles.json</t>
  </si>
  <si>
    <t>0fd06f2d8c3d9618009f190ddf7e89ceae47a6390743e28e9072d31c7fe9a106</t>
  </si>
  <si>
    <t>outputs/octogroove_wave_c/OG-F03_Reading_Instruction.svg</t>
  </si>
  <si>
    <t>5eabfc61d3c53ab7b3fc811d9ebe65bcf7925741deb27e9d4069090741c68e50</t>
  </si>
  <si>
    <t>outputs/octogroove_wave_c/OG-F03_Reading_Instruction.png</t>
  </si>
  <si>
    <t>d334257df9ea780bc9b302456db2ea759da5c6ca416d912b59a0c68f1937f738</t>
  </si>
  <si>
    <t>outputs/octogroove_wave_c/OG-F03_Traversal.json</t>
  </si>
  <si>
    <t>07743d0db1390b195db7d7c4e54e27d2ae3181b84e50b28e1f4eab100ed6ebef</t>
  </si>
  <si>
    <t>Wave D figure asset or bounded source evidence.</t>
  </si>
  <si>
    <t>outputs/octogroove_wave_d/OG-F02_Evidence_Assembly.svg</t>
  </si>
  <si>
    <t>2cdf42d4427c61802ddfd0a4e4743c326ce78988e02cfe12fac23ed00be95dbc</t>
  </si>
  <si>
    <t>Built in OG-WAVE-D using OG-A03 notation and adapted OG-A04 drawing components; caption and alt text from OG-A06.</t>
  </si>
  <si>
    <t>outputs/octogroove_wave_d/OG-F02_Evidence_Assembly.png</t>
  </si>
  <si>
    <t>29a02ff8945a97e88ad58a096d22b06d2547a19f6beb7548dfdb523acf4e08cf</t>
  </si>
  <si>
    <t>outputs/octogroove_wave_d/OG-F02_Relationships.json</t>
  </si>
  <si>
    <t>06d0fd3383e1c0d5aeb911fb91de5d94b8c378ec6b5d68921ac6ab19eeccc405</t>
  </si>
  <si>
    <t>Wave E figure asset or bounded source evidence.</t>
  </si>
  <si>
    <t>outputs/octogroove_wave_e/OG-F04_Document_Spine.svg</t>
  </si>
  <si>
    <t>d166f594fe027b696c910a62f1f8ce6804ec6d6f4e79783411e9dc88aa4d2928</t>
  </si>
  <si>
    <t>Built in OG-WAVE-E using OG-A03 notation and adapted OG-A04 drawing components; caption and alt text from OG-A06.</t>
  </si>
  <si>
    <t>outputs/octogroove_wave_e/OG-F04_Document_Spine.png</t>
  </si>
  <si>
    <t>bd6eb7217ab462002c9f589903feb85fe915f14a805fe214970393b93bf4f8f2</t>
  </si>
  <si>
    <t>outputs/octogroove_wave_e/OG-F04_Spine_Example.json</t>
  </si>
  <si>
    <t>c36ae3b4fbf4ec0c016256618594f4c853ec3717980099664d705b76ab862d01</t>
  </si>
  <si>
    <t>Wave F figure asset or bounded source evidence.</t>
  </si>
  <si>
    <t>outputs/octogroove_wave_f/OG-F05_Asset_Readback.svg</t>
  </si>
  <si>
    <t>d030f4d6d4f0bbf363c6aeab6df4ca66b98523c05b44521e877ed5b95f73c0d7</t>
  </si>
  <si>
    <t>Built in OG-WAVE-F using OG-A03 notation and adapted OG-A04 drawing components; caption and alt text from OG-A06.</t>
  </si>
  <si>
    <t>outputs/octogroove_wave_f/OG-F05_Asset_Readback.png</t>
  </si>
  <si>
    <t>9b5783aa35c407413d23610603e6ff00c816886364bfc04e9042590d32149c8e</t>
  </si>
  <si>
    <t>outputs/octogroove_wave_f/OG-F05_Readback_Example.json</t>
  </si>
  <si>
    <t>2557a54413e88f74dd5619f3b7b28130d1ac243d91c6e0108da41a8f48dbd8e9</t>
  </si>
  <si>
    <t>Wave G figure asset or bounded source evidence.</t>
  </si>
  <si>
    <t>outputs/octogroove_wave_g/OG-F06_Dependency_Repair.svg</t>
  </si>
  <si>
    <t>30f31373ecc55410db6a250a0d2a9974d38b051b0fd8d34ea5559d3a7a4b01c2</t>
  </si>
  <si>
    <t>Built in OG-WAVE-G using OG-A03 notation and adapted OG-A04 drawing components; caption and alt text from OG-A06.</t>
  </si>
  <si>
    <t>outputs/octogroove_wave_g/OG-F06_Dependency_Repair.png</t>
  </si>
  <si>
    <t>9c9830fda19b27634c1fe268626c89f98a02b5e163dcbed39e97c9908241eb5d</t>
  </si>
  <si>
    <t>outputs/octogroove_wave_g/OG-F06_Repair_Example.json</t>
  </si>
  <si>
    <t>6ed04a1d190895f6587e9b8edbce44e7af3b06dc13b345509762de1ab8a7fd1b</t>
  </si>
  <si>
    <t>outputs/octogroove_wave_g/OG-F07_Reusable_Pools.svg</t>
  </si>
  <si>
    <t>d35c3df453be8b5a5a8d7a3fc0102cbbe42b7ac7e4b1ba5ce056e39001c8b20f</t>
  </si>
  <si>
    <t>outputs/octogroove_wave_g/OG-F07_Reusable_Pools.png</t>
  </si>
  <si>
    <t>62f5ce3f1aedfdeeb576700aab40ae4319d3680c39d96f427cc3ad308ccb3e00</t>
  </si>
  <si>
    <t>outputs/octogroove_wave_g/OG-F07_Pool_Example.json</t>
  </si>
  <si>
    <t>67f336eec1d1db7313fb36f9f5accdfddfd098d8139aaec2c22d9c501ebd4553</t>
  </si>
  <si>
    <t>Wave H combined verification and composition handoff.</t>
  </si>
  <si>
    <t>outputs/octogroove_wave_h/Combined_Verification.json</t>
  </si>
  <si>
    <t>04a32600a7be79b21eb109f31734ad4734c65adb66e416fbf184f5ffd448131f</t>
  </si>
  <si>
    <t>Local combined audit of the completed OctoGroove seven-figure set.</t>
  </si>
  <si>
    <t>Inspect audit.py and the pinned Wave G dataset; audit report scope precedes handoff registration.</t>
  </si>
  <si>
    <t>outputs/octogroove_wave_h/Composition_Manifest.json</t>
  </si>
  <si>
    <t>e6b9046780f47c5a7db75e25fb097dc86868749f55aa244e3ab2868424fefbf1</t>
  </si>
  <si>
    <t>outputs/octogroove_wave_h/Pass_7_Handoff.txt</t>
  </si>
  <si>
    <t>e248952faf22b392f558eb59e24f383e045dce70cad67eb36f15d8500facb022</t>
  </si>
  <si>
    <t>Pass 7 composition output.</t>
  </si>
  <si>
    <t>outputs/octogroove_pass7/OctoGroove_Document_Construction_System_Pass7.docx</t>
  </si>
  <si>
    <t>631ebaa47cccbc1289ab866abfde49399f3913ee1bedddd63035b57827f26fec</t>
  </si>
  <si>
    <t>Current local composition and page inspection.</t>
  </si>
  <si>
    <t>Use compose.py with the pinned Pass 6 manifest and files. Register with register.py; export with build.mjs and finalize.py.</t>
  </si>
  <si>
    <t>outputs/octogroove_pass7/Prose.json</t>
  </si>
  <si>
    <t>5881de81e86fdb7ed92b4ca53d6a5a8dc6072b3c02837d542d8017c1f50368a7</t>
  </si>
  <si>
    <t>outputs/octogroove_pass7/Emission_Trace.json</t>
  </si>
  <si>
    <t>bb5faae855c553ae7fa81a63fa01651e01949f67bc813fb4d68f0a51b3d4e73c</t>
  </si>
  <si>
    <t>CODE</t>
  </si>
  <si>
    <t>outputs/octogroove_pass7/compose.py</t>
  </si>
  <si>
    <t>text/x-python</t>
  </si>
  <si>
    <t>3ca6ab1945af865b7c18504f351854d8e93cdd2bd0706c393483e886ada591e2</t>
  </si>
  <si>
    <t>outputs/octogroove_pass7/Composition_QA.json</t>
  </si>
  <si>
    <t>a8368d075c0203f82265e6a579d2e64ef8e265fcf37a747f30945eade434a13f</t>
  </si>
  <si>
    <t>Final review of the approved candidate.</t>
  </si>
  <si>
    <t>outputs/octogroove_pass8/Pass8_Audit.json</t>
  </si>
  <si>
    <t>08fd183d2fd491aae30606f8ffcbc05ed0b1635279e0623db612dfebe5146165</t>
  </si>
  <si>
    <t>Pass 8 audit of pinned Pass 7 state.</t>
  </si>
  <si>
    <t>Run audit.py against Pass_7_data.json and the unchanged approved DOCX.</t>
  </si>
  <si>
    <t>outputs/octogroove_pass8/Pass8_Review.md</t>
  </si>
  <si>
    <t>text/markdown</t>
  </si>
  <si>
    <t>f5eeebf9e52b0874c3bd61ac896ecbbdf1ae7a56c352dfecd21f836690632073</t>
  </si>
  <si>
    <t>🖼️📦 Figure Outputs</t>
  </si>
  <si>
    <t>5 — Figure Contract</t>
  </si>
  <si>
    <t>6 — Display File</t>
  </si>
  <si>
    <t>7 — Editable Files</t>
  </si>
  <si>
    <t>8 — Used Fulfillments</t>
  </si>
  <si>
    <t>9 — Caption</t>
  </si>
  <si>
    <t>10 — Alternative Text</t>
  </si>
  <si>
    <t>11 — Implementation Notes</t>
  </si>
  <si>
    <t>f05_figure_contract</t>
  </si>
  <si>
    <t>f06_display_file</t>
  </si>
  <si>
    <t>f07_editable_files</t>
  </si>
  <si>
    <t>f08_used_fulfillments</t>
  </si>
  <si>
    <t>f09_caption</t>
  </si>
  <si>
    <t>f10_alternative_text</t>
  </si>
  <si>
    <t>f11_implementation_notes</t>
  </si>
  <si>
    <t>["F01-SVG"]</t>
  </si>
  <si>
    <t>["FUL-F01-SVG","FUL-F01-PNG"]</t>
  </si>
  <si>
    <t>Contracts and workflow links reconstructed. Original manifest approval note: approved in Wave C</t>
  </si>
  <si>
    <t>["F02-SVG"]</t>
  </si>
  <si>
    <t>["FUL-F02-SVG","FUL-F02-PNG"]</t>
  </si>
  <si>
    <t>Contracts and workflow links reconstructed. Original manifest approval note: approved in Wave B</t>
  </si>
  <si>
    <t>["F03-SVG"]</t>
  </si>
  <si>
    <t>["FUL-F03-SVG","FUL-F03-PNG"]</t>
  </si>
  <si>
    <t>["F04-SVG"]</t>
  </si>
  <si>
    <t>["FUL-F04-SVG","FUL-F04-PNG"]</t>
  </si>
  <si>
    <t>Contracts and workflow links reconstructed. Original manifest approval note: approved in Wave D</t>
  </si>
  <si>
    <t>["F05-SVG"]</t>
  </si>
  <si>
    <t>["FUL-F05-SVG","FUL-F05-PNG"]</t>
  </si>
  <si>
    <t>["F06-SVG"]</t>
  </si>
  <si>
    <t>["FUL-F06-SVG","FUL-F06-PNG"]</t>
  </si>
  <si>
    <t>Contracts and workflow links reconstructed. Original manifest approval note: approved in Wave F</t>
  </si>
  <si>
    <t>["F07-SVG"]</t>
  </si>
  <si>
    <t>["FUL-F07-SVG","FUL-F07-PNG"]</t>
  </si>
  <si>
    <t>["F08-SVG"]</t>
  </si>
  <si>
    <t>["FUL-F08-SVG","FUL-F08-PNG"]</t>
  </si>
  <si>
    <t>Contracts and workflow links reconstructed. Original manifest approval note: approved in Wave G</t>
  </si>
  <si>
    <t>Wave C completed figure.</t>
  </si>
  <si>
    <t>["OG-F01-SVG"]</t>
  </si>
  <si>
    <t>["OG-A03-FULFILL","OG-A04-FULFILL","OG-A05-FULFILL","OG-A06-FULFILL","OG-F01-EXAMPLE-FULFILL"]</t>
  </si>
  <si>
    <t>The operating package separates reusable definitions, project records, reference examples, and physical files. A recorded file reference does not embed its bytes.</t>
  </si>
  <si>
    <t>The paper and starter support a project workbook; the worked example provides reference; project records point to physical files; the website distributes and explains the package.</t>
  </si>
  <si>
    <t>Editable SVG and 1950px PNG inspected. Canonical symbols retained in reference data; readable Table IDs used for font coverage. Reader does not execute assembly. Website is planned.</t>
  </si>
  <si>
    <t>["OG-F03-SVG"]</t>
  </si>
  <si>
    <t>["OG-A01-FULFILL","OG-A02-FULFILL","OG-A03-FULFILL","OG-A04-FULFILL","OG-A05-FULFILL","OG-A06-FULFILL","OG-F03-EXAMPLE-FULFILL"]</t>
  </si>
  <si>
    <t>Document Plans Field 6 resolves its Template. Template Field 6 supplies Assembly Instructions. Finding matching Template Slots is a reverse lookup, not a stored outgoing list.</t>
  </si>
  <si>
    <t>PLAN-EFX links to TPL-TECH through Field 6. Its Assembly Instructions are read at Field 6, followed by a search of Template Slots whose Template link matches.</t>
  </si>
  <si>
    <t>Wave D completed figure.</t>
  </si>
  <si>
    <t>["OG-F02-SVG"]</t>
  </si>
  <si>
    <t>["OG-A01-FULFILL","OG-A02-FULFILL","OG-A03-FULFILL","OG-A04-FULFILL","OG-A05-FULFILL","OG-A06-FULFILL","OG-F02-EXAMPLE-FULFILL"]</t>
  </si>
  <si>
    <t>Content and figure paths converge in ordered Document Placements. Solid links denote stored references; labelled procedural transitions describe work performed by an operator or executor.</t>
  </si>
  <si>
    <t>A source-to-content path and a figure requirement-to-output path meet at Document Placements under a Document Plan and presentation contracts.</t>
  </si>
  <si>
    <t>Editable SVG and 1950px PNG inspected. Canonical symbols retained in reference data; readable Table IDs used for font coverage. Repeated Table nodes denote the same Table. F labels are exact source Field numbers. Each placement selects Content Item XOR Figure Output.</t>
  </si>
  <si>
    <t>Wave E completed figure.</t>
  </si>
  <si>
    <t>["OG-F04-SVG"]</t>
  </si>
  <si>
    <t>["OG-A01-FULFILL","OG-A02-FULFILL","OG-A03-FULFILL","OG-A04-FULFILL","OG-A05-FULFILL","OG-A06-FULFILL","OG-F04-EXAMPLE-FULFILL"]</t>
  </si>
  <si>
    <t>HEADER emits a heading, CONTINUANCE emits prose, and FIGURE emits its resolved output. The illustrative page shows expected emission behavior, not evidence of an automated renderer.</t>
  </si>
  <si>
    <t>Five ordered illustrative placements emit a heading, opening prose, figure, interpretation, and next heading using matching typed Slots.</t>
  </si>
  <si>
    <t>Editable SVG and 1950px PNG inspected. Canonical symbols retained in reference data; readable Table IDs used for font coverage. Five self-contained DEMO placements illustrate expected emission. Matching registered Slots are pinned in evidence. No production document renderer execution is claimed.</t>
  </si>
  <si>
    <t>Wave F completed figure.</t>
  </si>
  <si>
    <t>["OG-F05-SVG"]</t>
  </si>
  <si>
    <t>["OG-A01-FULFILL","OG-A02-FULFILL","OG-A03-FULFILL","OG-A04-FULFILL","OG-A05-FULFILL","OG-A06-FULFILL","OG-F05-EXAMPLE-FULFILL"]</t>
  </si>
  <si>
    <t>Asset selection uses retrieval filters. Generation readback combines local requirements, applicable Rules, exclusions, and enabled Theme Added Details; the request and its execution results remain distinct.</t>
  </si>
  <si>
    <t>A suitable file fulfills a requirement through reuse. An unmet requirement produces a request; paired Theme cases show Added Details omitted or included while retrieval filters persist.</t>
  </si>
  <si>
    <t>Editable SVG and 1950px PNG inspected. Canonical symbols retained in reference data; readable Table IDs used for font coverage. Paired DEMO Theme cases and exact compiled readbacks. Reuse precedes generation. No live generation was executed.</t>
  </si>
  <si>
    <t>Wave G completed figure.</t>
  </si>
  <si>
    <t>["OG-F06-SVG"]</t>
  </si>
  <si>
    <t>["OG-A01-FULFILL","OG-A02-FULFILL","OG-A03-FULFILL","OG-A04-FULFILL","OG-A05-FULFILL","OG-A06-FULFILL","OG-F06-EXAMPLE-FULFILL"]</t>
  </si>
  <si>
    <t>An upstream revision change initiates scoped impact assessment. Repairs and rechecks update affected outputs while independent branches and historical revisions remain identifiable.</t>
  </si>
  <si>
    <t>A defect leads to a new upstream revision, review of scoped relationships, repair and rechecks on affected branches, and preservation of an independent branch.</t>
  </si>
  <si>
    <t>Editable SVG and 1950px PNG inspected. Canonical symbols retained in reference data; readable Table IDs used for font coverage. Bounded illustrative repair and reuse cases. Semantic assessment, historical identity and actual promotion evidence remain explicit.</t>
  </si>
  <si>
    <t>["OG-F07-SVG"]</t>
  </si>
  <si>
    <t>["OG-A01-FULFILL","OG-A02-FULFILL","OG-A03-FULFILL","OG-A04-FULFILL","OG-A05-FULFILL","OG-A06-FULFILL","OG-F07-EXAMPLE-FULFILL"]</t>
  </si>
  <si>
    <t>Projects reuse compatible definitions and assets. Candidate designation does not perform promotion; completed promotion records its destination and persistent identity. Placement transforms preserve source identity.</t>
  </si>
  <si>
    <t>Three illustrative projects share reusable material. Lifecycle labels distinguish project-only, candidate, promoted, and archived outputs; examples contrast transformed uses with a new derivative.</t>
  </si>
  <si>
    <t>📄📐 Document Placements</t>
  </si>
  <si>
    <t>5 — Document Revision</t>
  </si>
  <si>
    <t>6 — Position</t>
  </si>
  <si>
    <t>7 — Placement Kind</t>
  </si>
  <si>
    <t>8 — Content Item</t>
  </si>
  <si>
    <t>9 — Figure Output</t>
  </si>
  <si>
    <t>10 — Section Anchor</t>
  </si>
  <si>
    <t>11 — Layout Instructions</t>
  </si>
  <si>
    <t>12 — Rendered Locator</t>
  </si>
  <si>
    <t>13 — Document Plan</t>
  </si>
  <si>
    <t>14 — Spine Type</t>
  </si>
  <si>
    <t>15 — Template Slot</t>
  </si>
  <si>
    <t>f05_document_revision</t>
  </si>
  <si>
    <t>f06_position</t>
  </si>
  <si>
    <t>f07_placement_kind</t>
  </si>
  <si>
    <t>f08_content_item</t>
  </si>
  <si>
    <t>f09_figure_output</t>
  </si>
  <si>
    <t>f10_section_anchor</t>
  </si>
  <si>
    <t>f11_layout_instructions</t>
  </si>
  <si>
    <t>f12_rendered_locator</t>
  </si>
  <si>
    <t>f13_document_plan</t>
  </si>
  <si>
    <t>f14_spine_type</t>
  </si>
  <si>
    <t>f15_template_slot</t>
  </si>
  <si>
    <t>Use approved caption and adequate label size. Positions enumerate figures only; full prose placement not reconstructed.</t>
  </si>
  <si>
    <t>OG-S01</t>
  </si>
  <si>
    <t>HEADER only. Insert later prose and figures between section positions without changing these identities.</t>
  </si>
  <si>
    <t>OG-S02</t>
  </si>
  <si>
    <t>OG-S03</t>
  </si>
  <si>
    <t>OG-S04</t>
  </si>
  <si>
    <t>OG-S05</t>
  </si>
  <si>
    <t>OG-S06</t>
  </si>
  <si>
    <t>OG-S07</t>
  </si>
  <si>
    <t>OG-S08</t>
  </si>
  <si>
    <t>OG-S09</t>
  </si>
  <si>
    <t>OG-S10</t>
  </si>
  <si>
    <t>OG-S11</t>
  </si>
  <si>
    <t>OG-S12</t>
  </si>
  <si>
    <t>Ordered figure placement in the OctoGroove paper plan.</t>
  </si>
  <si>
    <t>Emit figure with registered caption and alt text at 6.5 inch width. Preserve 1200px source proportions and legibility.</t>
  </si>
  <si>
    <t>Prose separate from approved HEADER.</t>
  </si>
  <si>
    <t>Emit Text paragraphs once; retain paragraph order.</t>
  </si>
  <si>
    <t>CONTINUANCE</t>
  </si>
  <si>
    <t>🔗🧭 Dependencies</t>
  </si>
  <si>
    <t>4 — Upstream Revision</t>
  </si>
  <si>
    <t>5 — Downstream Revision</t>
  </si>
  <si>
    <t>6 — Relationship</t>
  </si>
  <si>
    <t>7 — Dependency Scope</t>
  </si>
  <si>
    <t>8 — Recheck Rule</t>
  </si>
  <si>
    <t>9 — Dependency Condition</t>
  </si>
  <si>
    <t>10 — Trigger Revision</t>
  </si>
  <si>
    <t>11 — Recheck</t>
  </si>
  <si>
    <t>f04_upstream_revision</t>
  </si>
  <si>
    <t>f05_downstream_revision</t>
  </si>
  <si>
    <t>f06_relationship</t>
  </si>
  <si>
    <t>f07_dependency_scope</t>
  </si>
  <si>
    <t>f08_recheck_rule</t>
  </si>
  <si>
    <t>f09_dependency_condition</t>
  </si>
  <si>
    <t>f10_trigger_revision</t>
  </si>
  <si>
    <t>f11_recheck</t>
  </si>
  <si>
    <t>DEP-F01-0</t>
  </si>
  <si>
    <t>DERIVED FROM</t>
  </si>
  <si>
    <t>F01 meaning, caption, and selected representation.</t>
  </si>
  <si>
    <t>Review if upstream content or file bytes change.</t>
  </si>
  <si>
    <t>DEP-F01-1</t>
  </si>
  <si>
    <t>DEP-F01-2</t>
  </si>
  <si>
    <t>USES</t>
  </si>
  <si>
    <t>DEP-F01-3</t>
  </si>
  <si>
    <t>COMPOSES</t>
  </si>
  <si>
    <t>DEP-F02-4</t>
  </si>
  <si>
    <t>F02 meaning, caption, and selected representation.</t>
  </si>
  <si>
    <t>DEP-F02-5</t>
  </si>
  <si>
    <t>DEP-F02-6</t>
  </si>
  <si>
    <t>DEP-F02-7</t>
  </si>
  <si>
    <t>DEP-F03-8</t>
  </si>
  <si>
    <t>F03 meaning, caption, and selected representation.</t>
  </si>
  <si>
    <t>DEP-F03-9</t>
  </si>
  <si>
    <t>DEP-F03-10</t>
  </si>
  <si>
    <t>DEP-F03-11</t>
  </si>
  <si>
    <t>DEP-F04-12</t>
  </si>
  <si>
    <t>F04 meaning, caption, and selected representation.</t>
  </si>
  <si>
    <t>DEP-F04-13</t>
  </si>
  <si>
    <t>DEP-F04-14</t>
  </si>
  <si>
    <t>DEP-F04-15</t>
  </si>
  <si>
    <t>DEP-F05-16</t>
  </si>
  <si>
    <t>F05 meaning, caption, and selected representation.</t>
  </si>
  <si>
    <t>DEP-F05-17</t>
  </si>
  <si>
    <t>DEP-F05-18</t>
  </si>
  <si>
    <t>DEP-F05-19</t>
  </si>
  <si>
    <t>DEP-F06-20</t>
  </si>
  <si>
    <t>F06 meaning, caption, and selected representation.</t>
  </si>
  <si>
    <t>DEP-F06-21</t>
  </si>
  <si>
    <t>DEP-F06-22</t>
  </si>
  <si>
    <t>DEP-F06-23</t>
  </si>
  <si>
    <t>DEP-F07-24</t>
  </si>
  <si>
    <t>F07 meaning, caption, and selected representation.</t>
  </si>
  <si>
    <t>DEP-F07-25</t>
  </si>
  <si>
    <t>DEP-F07-26</t>
  </si>
  <si>
    <t>DEP-F07-27</t>
  </si>
  <si>
    <t>DEP-F08-28</t>
  </si>
  <si>
    <t>F08 meaning, caption, and selected representation.</t>
  </si>
  <si>
    <t>DEP-F08-29</t>
  </si>
  <si>
    <t>DEP-F08-30</t>
  </si>
  <si>
    <t>DEP-F08-31</t>
  </si>
  <si>
    <t>OG-DEP-OG-F01</t>
  </si>
  <si>
    <t>Exact schema, relevant records and declared capability boundaries.</t>
  </si>
  <si>
    <t>Reassess if consumed Fields, values or implementation claims change.</t>
  </si>
  <si>
    <t>OG-DEP-OG-F02</t>
  </si>
  <si>
    <t>OG-DEP-OG-F03</t>
  </si>
  <si>
    <t>OG-DEP-OG-F04</t>
  </si>
  <si>
    <t>OG-DEP-OG-F05</t>
  </si>
  <si>
    <t>OG-DEP-OG-F06</t>
  </si>
  <si>
    <t>OG-DEP-OG-F07</t>
  </si>
  <si>
    <t>OG-A03 governs output</t>
  </si>
  <si>
    <t>Registered requirement dependency.</t>
  </si>
  <si>
    <t>OG-B-NOTATION-DEP</t>
  </si>
  <si>
    <t>Shared ingredient contract.</t>
  </si>
  <si>
    <t>Review output when consumed requirements change.</t>
  </si>
  <si>
    <t>OG-A04 governs output</t>
  </si>
  <si>
    <t>OG-B-COMPONENTS-DEP</t>
  </si>
  <si>
    <t>OG-A06 governs output</t>
  </si>
  <si>
    <t>OG-B-TEXT-DEP</t>
  </si>
  <si>
    <t>OG-B-DEP-SCHEMA</t>
  </si>
  <si>
    <t>Exact Table names, IDs and canonical symbols.</t>
  </si>
  <si>
    <t>Regenerate or review after consumed source changes.</t>
  </si>
  <si>
    <t>OG-B-DEP-DRAW</t>
  </si>
  <si>
    <t>Line styles, labels and palette.</t>
  </si>
  <si>
    <t>OG-B-DEP-RENDER</t>
  </si>
  <si>
    <t>Exact editable component source.</t>
  </si>
  <si>
    <t>Figure 1 text requirement</t>
  </si>
  <si>
    <t>Title, qualification and explanatory contract.</t>
  </si>
  <si>
    <t>OG-B-TEXT-DEP-1</t>
  </si>
  <si>
    <t>OG-F01 labels, caption and alternative text.</t>
  </si>
  <si>
    <t>Update corresponding text entry when the contract changes.</t>
  </si>
  <si>
    <t>Figure 2 text requirement</t>
  </si>
  <si>
    <t>OG-B-TEXT-DEP-2</t>
  </si>
  <si>
    <t>OG-F02 labels, caption and alternative text.</t>
  </si>
  <si>
    <t>Figure 3 text requirement</t>
  </si>
  <si>
    <t>OG-B-TEXT-DEP-3</t>
  </si>
  <si>
    <t>OG-F03 labels, caption and alternative text.</t>
  </si>
  <si>
    <t>Figure 4 text requirement</t>
  </si>
  <si>
    <t>OG-B-TEXT-DEP-4</t>
  </si>
  <si>
    <t>OG-F04 labels, caption and alternative text.</t>
  </si>
  <si>
    <t>Figure 5 text requirement</t>
  </si>
  <si>
    <t>OG-B-TEXT-DEP-5</t>
  </si>
  <si>
    <t>OG-F05 labels, caption and alternative text.</t>
  </si>
  <si>
    <t>Figure 6 text requirement</t>
  </si>
  <si>
    <t>OG-B-TEXT-DEP-6</t>
  </si>
  <si>
    <t>OG-F06 labels, caption and alternative text.</t>
  </si>
  <si>
    <t>Figure 7 text requirement</t>
  </si>
  <si>
    <t>OG-B-TEXT-DEP-7</t>
  </si>
  <si>
    <t>OG-F07 labels, caption and alternative text.</t>
  </si>
  <si>
    <t>PNG rendering of exact editable SVG.</t>
  </si>
  <si>
    <t>Wave C declared dependency.</t>
  </si>
  <si>
    <t>OG-F01-RASTER-DEP</t>
  </si>
  <si>
    <t>Review consumed revision change; regenerate affected output and repeat its checks.</t>
  </si>
  <si>
    <t>Bounded example requirement.</t>
  </si>
  <si>
    <t>OG-F01-EXAMPLE-DEP</t>
  </si>
  <si>
    <t>Figure contract and qualifications.</t>
  </si>
  <si>
    <t>OG-F01-CONTRACT-DEP</t>
  </si>
  <si>
    <t>Consumed shared figure ingredient OG-A03</t>
  </si>
  <si>
    <t>OG-F01-OG-A03-DEP</t>
  </si>
  <si>
    <t>Consumed shared figure ingredient OG-A04</t>
  </si>
  <si>
    <t>OG-F01-OG-A04-DEP</t>
  </si>
  <si>
    <t>Consumed shared figure ingredient OG-A05</t>
  </si>
  <si>
    <t>OG-F01-OG-A05-DEP</t>
  </si>
  <si>
    <t>Consumed shared figure ingredient OG-A06</t>
  </si>
  <si>
    <t>OG-F01-OG-A06-DEP</t>
  </si>
  <si>
    <t>Exact bounded example values.</t>
  </si>
  <si>
    <t>OG-F01-SOURCE-DEP</t>
  </si>
  <si>
    <t>Figure output references PNG</t>
  </si>
  <si>
    <t>OG-F01-OUTPUT-PNG</t>
  </si>
  <si>
    <t>Figure output references SVG</t>
  </si>
  <si>
    <t>OG-F01-OUTPUT-SVG</t>
  </si>
  <si>
    <t>Figure output references EVIDENCE</t>
  </si>
  <si>
    <t>OG-F01-OUTPUT-EVIDENCE</t>
  </si>
  <si>
    <t>Placed figure output.</t>
  </si>
  <si>
    <t>OG-F01-PLACEMENT-DEP</t>
  </si>
  <si>
    <t>OG-F03-RASTER-DEP</t>
  </si>
  <si>
    <t>OG-F03-EXAMPLE-DEP</t>
  </si>
  <si>
    <t>OG-F03-CONTRACT-DEP</t>
  </si>
  <si>
    <t>Consumed shared figure ingredient OG-A01</t>
  </si>
  <si>
    <t>OG-F03-OG-A01-DEP</t>
  </si>
  <si>
    <t>Consumed shared figure ingredient OG-A02</t>
  </si>
  <si>
    <t>OG-F03-OG-A02-DEP</t>
  </si>
  <si>
    <t>OG-F03-OG-A03-DEP</t>
  </si>
  <si>
    <t>OG-F03-OG-A04-DEP</t>
  </si>
  <si>
    <t>OG-F03-OG-A05-DEP</t>
  </si>
  <si>
    <t>OG-F03-OG-A06-DEP</t>
  </si>
  <si>
    <t>OG-F03-SOURCE-DEP</t>
  </si>
  <si>
    <t>OG-F03-OUTPUT-PNG</t>
  </si>
  <si>
    <t>OG-F03-OUTPUT-SVG</t>
  </si>
  <si>
    <t>OG-F03-OUTPUT-EVIDENCE</t>
  </si>
  <si>
    <t>OG-F03-PLACEMENT-DEP</t>
  </si>
  <si>
    <t>Wave D declared dependency.</t>
  </si>
  <si>
    <t>OG-F02-RASTER-DEP</t>
  </si>
  <si>
    <t>OG-F02-EXAMPLE-DEP</t>
  </si>
  <si>
    <t>OG-F02-CONTRACT-DEP</t>
  </si>
  <si>
    <t>OG-F02-OG-A01-DEP</t>
  </si>
  <si>
    <t>OG-F02-OG-A02-DEP</t>
  </si>
  <si>
    <t>OG-F02-OG-A03-DEP</t>
  </si>
  <si>
    <t>OG-F02-OG-A04-DEP</t>
  </si>
  <si>
    <t>OG-F02-OG-A05-DEP</t>
  </si>
  <si>
    <t>OG-F02-OG-A06-DEP</t>
  </si>
  <si>
    <t>OG-F02-SOURCE-DEP</t>
  </si>
  <si>
    <t>OG-F02-OUTPUT-PNG</t>
  </si>
  <si>
    <t>OG-F02-OUTPUT-SVG</t>
  </si>
  <si>
    <t>OG-F02-OUTPUT-EVIDENCE</t>
  </si>
  <si>
    <t>OG-F02-PLACEMENT-DEP</t>
  </si>
  <si>
    <t>Wave E declared dependency.</t>
  </si>
  <si>
    <t>OG-F04-RASTER-DEP</t>
  </si>
  <si>
    <t>OG-F04-EXAMPLE-DEP</t>
  </si>
  <si>
    <t>OG-F04-CONTRACT-DEP</t>
  </si>
  <si>
    <t>OG-F04-OG-A01-DEP</t>
  </si>
  <si>
    <t>OG-F04-OG-A02-DEP</t>
  </si>
  <si>
    <t>OG-F04-OG-A03-DEP</t>
  </si>
  <si>
    <t>OG-F04-OG-A04-DEP</t>
  </si>
  <si>
    <t>OG-F04-OG-A05-DEP</t>
  </si>
  <si>
    <t>OG-F04-OG-A06-DEP</t>
  </si>
  <si>
    <t>OG-F04-SOURCE-DEP</t>
  </si>
  <si>
    <t>OG-F04-OUTPUT-PNG</t>
  </si>
  <si>
    <t>OG-F04-OUTPUT-SVG</t>
  </si>
  <si>
    <t>OG-F04-OUTPUT-EVIDENCE</t>
  </si>
  <si>
    <t>OG-F04-PLACEMENT-DEP</t>
  </si>
  <si>
    <t>Wave F declared dependency.</t>
  </si>
  <si>
    <t>OG-F05-RASTER-DEP</t>
  </si>
  <si>
    <t>OG-F05-EXAMPLE-DEP</t>
  </si>
  <si>
    <t>OG-F05-CONTRACT-DEP</t>
  </si>
  <si>
    <t>OG-F05-OG-A01-DEP</t>
  </si>
  <si>
    <t>OG-F05-OG-A02-DEP</t>
  </si>
  <si>
    <t>OG-F05-OG-A03-DEP</t>
  </si>
  <si>
    <t>OG-F05-OG-A04-DEP</t>
  </si>
  <si>
    <t>OG-F05-OG-A05-DEP</t>
  </si>
  <si>
    <t>OG-F05-OG-A06-DEP</t>
  </si>
  <si>
    <t>OG-F05-SOURCE-DEP</t>
  </si>
  <si>
    <t>OG-F05-OUTPUT-PNG</t>
  </si>
  <si>
    <t>OG-F05-OUTPUT-SVG</t>
  </si>
  <si>
    <t>OG-F05-OUTPUT-EVIDENCE</t>
  </si>
  <si>
    <t>OG-F05-PLACEMENT-DEP</t>
  </si>
  <si>
    <t>Wave G declared dependency.</t>
  </si>
  <si>
    <t>OG-F06-RASTER-DEP</t>
  </si>
  <si>
    <t>OG-F06-EXAMPLE-DEP</t>
  </si>
  <si>
    <t>OG-F06-CONTRACT-DEP</t>
  </si>
  <si>
    <t>OG-F06-OG-A01-DEP</t>
  </si>
  <si>
    <t>OG-F06-OG-A02-DEP</t>
  </si>
  <si>
    <t>OG-F06-OG-A03-DEP</t>
  </si>
  <si>
    <t>OG-F06-OG-A04-DEP</t>
  </si>
  <si>
    <t>OG-F06-OG-A05-DEP</t>
  </si>
  <si>
    <t>OG-F06-OG-A06-DEP</t>
  </si>
  <si>
    <t>OG-F06-SOURCE-DEP</t>
  </si>
  <si>
    <t>OG-F06-OUTPUT-PNG</t>
  </si>
  <si>
    <t>OG-F06-OUTPUT-SVG</t>
  </si>
  <si>
    <t>OG-F06-OUTPUT-EVIDENCE</t>
  </si>
  <si>
    <t>OG-F06-PLACEMENT-DEP</t>
  </si>
  <si>
    <t>OG-F07-RASTER-DEP</t>
  </si>
  <si>
    <t>OG-F07-EXAMPLE-DEP</t>
  </si>
  <si>
    <t>OG-F07-CONTRACT-DEP</t>
  </si>
  <si>
    <t>OG-F07-OG-A01-DEP</t>
  </si>
  <si>
    <t>OG-F07-OG-A02-DEP</t>
  </si>
  <si>
    <t>OG-F07-OG-A03-DEP</t>
  </si>
  <si>
    <t>OG-F07-OG-A04-DEP</t>
  </si>
  <si>
    <t>OG-F07-OG-A05-DEP</t>
  </si>
  <si>
    <t>OG-F07-OG-A06-DEP</t>
  </si>
  <si>
    <t>OG-F07-SOURCE-DEP</t>
  </si>
  <si>
    <t>OG-F07-OUTPUT-PNG</t>
  </si>
  <si>
    <t>OG-F07-OUTPUT-SVG</t>
  </si>
  <si>
    <t>OG-F07-OUTPUT-EVIDENCE</t>
  </si>
  <si>
    <t>OG-F07-PLACEMENT-DEP</t>
  </si>
  <si>
    <t>OG-F01 audit input</t>
  </si>
  <si>
    <t>Exact output consumed by audit.</t>
  </si>
  <si>
    <t>OG-F01-H-DEP</t>
  </si>
  <si>
    <t>Figure files, fulfillment and placement verification.</t>
  </si>
  <si>
    <t>Repeat affected audit after changing consumed output or placement.</t>
  </si>
  <si>
    <t>OG-F02 audit input</t>
  </si>
  <si>
    <t>OG-F02-H-DEP</t>
  </si>
  <si>
    <t>OG-F03 audit input</t>
  </si>
  <si>
    <t>OG-F03-H-DEP</t>
  </si>
  <si>
    <t>OG-F04 audit input</t>
  </si>
  <si>
    <t>OG-F04-H-DEP</t>
  </si>
  <si>
    <t>OG-F05 audit input</t>
  </si>
  <si>
    <t>OG-F05-H-DEP</t>
  </si>
  <si>
    <t>OG-F06 audit input</t>
  </si>
  <si>
    <t>OG-F06-H-DEP</t>
  </si>
  <si>
    <t>OG-F07 audit input</t>
  </si>
  <si>
    <t>OG-F07-H-DEP</t>
  </si>
  <si>
    <t>Approved scope and limitations for OG-S01</t>
  </si>
  <si>
    <t>Pass 7 exact input.</t>
  </si>
  <si>
    <t>OG-P7-DEP-156</t>
  </si>
  <si>
    <t>Recompose or assess and recheck affected pages when this input changes.</t>
  </si>
  <si>
    <t>Exact prose for OG-S01</t>
  </si>
  <si>
    <t>OG-P7-DEP-157</t>
  </si>
  <si>
    <t>Prose placement and slot for OG-S01</t>
  </si>
  <si>
    <t>OG-P7-DEP-158</t>
  </si>
  <si>
    <t>Approved scope and limitations for OG-S02</t>
  </si>
  <si>
    <t>OG-P7-DEP-159</t>
  </si>
  <si>
    <t>Exact prose for OG-S02</t>
  </si>
  <si>
    <t>OG-P7-DEP-160</t>
  </si>
  <si>
    <t>Prose placement and slot for OG-S02</t>
  </si>
  <si>
    <t>OG-P7-DEP-161</t>
  </si>
  <si>
    <t>Approved scope and limitations for OG-S03</t>
  </si>
  <si>
    <t>OG-P7-DEP-162</t>
  </si>
  <si>
    <t>Exact prose for OG-S03</t>
  </si>
  <si>
    <t>OG-P7-DEP-163</t>
  </si>
  <si>
    <t>Prose placement and slot for OG-S03</t>
  </si>
  <si>
    <t>OG-P7-DEP-164</t>
  </si>
  <si>
    <t>Approved scope and limitations for OG-S04</t>
  </si>
  <si>
    <t>OG-P7-DEP-165</t>
  </si>
  <si>
    <t>Exact prose for OG-S04</t>
  </si>
  <si>
    <t>OG-P7-DEP-166</t>
  </si>
  <si>
    <t>Prose placement and slot for OG-S04</t>
  </si>
  <si>
    <t>OG-P7-DEP-167</t>
  </si>
  <si>
    <t>Approved scope and limitations for OG-S05</t>
  </si>
  <si>
    <t>OG-P7-DEP-168</t>
  </si>
  <si>
    <t>Exact prose for OG-S05</t>
  </si>
  <si>
    <t>OG-P7-DEP-169</t>
  </si>
  <si>
    <t>Prose placement and slot for OG-S05</t>
  </si>
  <si>
    <t>OG-P7-DEP-170</t>
  </si>
  <si>
    <t>Approved scope and limitations for OG-S06</t>
  </si>
  <si>
    <t>OG-P7-DEP-171</t>
  </si>
  <si>
    <t>Exact prose for OG-S06</t>
  </si>
  <si>
    <t>OG-P7-DEP-172</t>
  </si>
  <si>
    <t>Prose placement and slot for OG-S06</t>
  </si>
  <si>
    <t>OG-P7-DEP-173</t>
  </si>
  <si>
    <t>Approved scope and limitations for OG-S07</t>
  </si>
  <si>
    <t>OG-P7-DEP-174</t>
  </si>
  <si>
    <t>Exact prose for OG-S07</t>
  </si>
  <si>
    <t>OG-P7-DEP-175</t>
  </si>
  <si>
    <t>Prose placement and slot for OG-S07</t>
  </si>
  <si>
    <t>OG-P7-DEP-176</t>
  </si>
  <si>
    <t>Approved scope and limitations for OG-S08</t>
  </si>
  <si>
    <t>OG-P7-DEP-177</t>
  </si>
  <si>
    <t>Exact prose for OG-S08</t>
  </si>
  <si>
    <t>OG-P7-DEP-178</t>
  </si>
  <si>
    <t>Prose placement and slot for OG-S08</t>
  </si>
  <si>
    <t>OG-P7-DEP-179</t>
  </si>
  <si>
    <t>Approved scope and limitations for OG-S09</t>
  </si>
  <si>
    <t>OG-P7-DEP-180</t>
  </si>
  <si>
    <t>Exact prose for OG-S09</t>
  </si>
  <si>
    <t>OG-P7-DEP-181</t>
  </si>
  <si>
    <t>Prose placement and slot for OG-S09</t>
  </si>
  <si>
    <t>OG-P7-DEP-182</t>
  </si>
  <si>
    <t>Approved scope and limitations for OG-S10</t>
  </si>
  <si>
    <t>OG-P7-DEP-183</t>
  </si>
  <si>
    <t>Exact prose for OG-S10</t>
  </si>
  <si>
    <t>OG-P7-DEP-184</t>
  </si>
  <si>
    <t>Prose placement and slot for OG-S10</t>
  </si>
  <si>
    <t>OG-P7-DEP-185</t>
  </si>
  <si>
    <t>Approved scope and limitations for OG-S11</t>
  </si>
  <si>
    <t>OG-P7-DEP-186</t>
  </si>
  <si>
    <t>Exact prose for OG-S11</t>
  </si>
  <si>
    <t>OG-P7-DEP-187</t>
  </si>
  <si>
    <t>Prose placement and slot for OG-S11</t>
  </si>
  <si>
    <t>OG-P7-DEP-188</t>
  </si>
  <si>
    <t>Approved scope and limitations for OG-S12</t>
  </si>
  <si>
    <t>OG-P7-DEP-189</t>
  </si>
  <si>
    <t>Exact prose for OG-S12</t>
  </si>
  <si>
    <t>OG-P7-DEP-190</t>
  </si>
  <si>
    <t>Prose placement and slot for OG-S12</t>
  </si>
  <si>
    <t>OG-P7-DEP-191</t>
  </si>
  <si>
    <t>Heading or figure placement OG-PLACE-01</t>
  </si>
  <si>
    <t>OG-P7-DEP-192</t>
  </si>
  <si>
    <t>Heading or figure placement OG-PLACE-02</t>
  </si>
  <si>
    <t>OG-P7-DEP-193</t>
  </si>
  <si>
    <t>Heading or figure placement OG-F01-PLACE</t>
  </si>
  <si>
    <t>OG-P7-DEP-194</t>
  </si>
  <si>
    <t>Heading or figure placement OG-PLACE-03</t>
  </si>
  <si>
    <t>OG-P7-DEP-195</t>
  </si>
  <si>
    <t>Heading or figure placement OG-PLACE-04</t>
  </si>
  <si>
    <t>OG-P7-DEP-196</t>
  </si>
  <si>
    <t>Heading or figure placement OG-PLACE-05</t>
  </si>
  <si>
    <t>OG-P7-DEP-197</t>
  </si>
  <si>
    <t>Heading or figure placement OG-F02-PLACE</t>
  </si>
  <si>
    <t>OG-P7-DEP-198</t>
  </si>
  <si>
    <t>Heading or figure placement OG-F03-PLACE</t>
  </si>
  <si>
    <t>OG-P7-DEP-199</t>
  </si>
  <si>
    <t>Heading or figure placement OG-PLACE-06</t>
  </si>
  <si>
    <t>OG-P7-DEP-200</t>
  </si>
  <si>
    <t>Heading or figure placement OG-F04-PLACE</t>
  </si>
  <si>
    <t>OG-P7-DEP-201</t>
  </si>
  <si>
    <t>Heading or figure placement OG-PLACE-07</t>
  </si>
  <si>
    <t>OG-P7-DEP-202</t>
  </si>
  <si>
    <t>Heading or figure placement OG-F05-PLACE</t>
  </si>
  <si>
    <t>OG-P7-DEP-203</t>
  </si>
  <si>
    <t>Heading or figure placement OG-PLACE-08</t>
  </si>
  <si>
    <t>OG-P7-DEP-204</t>
  </si>
  <si>
    <t>Heading or figure placement OG-F06-PLACE</t>
  </si>
  <si>
    <t>OG-P7-DEP-205</t>
  </si>
  <si>
    <t>Heading or figure placement OG-PLACE-09</t>
  </si>
  <si>
    <t>OG-P7-DEP-206</t>
  </si>
  <si>
    <t>Heading or figure placement OG-F07-PLACE</t>
  </si>
  <si>
    <t>OG-P7-DEP-207</t>
  </si>
  <si>
    <t>Heading or figure placement OG-PLACE-10</t>
  </si>
  <si>
    <t>OG-P7-DEP-208</t>
  </si>
  <si>
    <t>Heading or figure placement OG-PLACE-11</t>
  </si>
  <si>
    <t>OG-P7-DEP-209</t>
  </si>
  <si>
    <t>Heading or figure placement OG-PLACE-12</t>
  </si>
  <si>
    <t>OG-P7-DEP-210</t>
  </si>
  <si>
    <t>Figure bytes, caption and alternative text OG-F01</t>
  </si>
  <si>
    <t>OG-P7-DEP-211</t>
  </si>
  <si>
    <t>Figure bytes, caption and alternative text OG-F02</t>
  </si>
  <si>
    <t>OG-P7-DEP-212</t>
  </si>
  <si>
    <t>Figure bytes, caption and alternative text OG-F03</t>
  </si>
  <si>
    <t>OG-P7-DEP-213</t>
  </si>
  <si>
    <t>Figure bytes, caption and alternative text OG-F04</t>
  </si>
  <si>
    <t>OG-P7-DEP-214</t>
  </si>
  <si>
    <t>Figure bytes, caption and alternative text OG-F05</t>
  </si>
  <si>
    <t>OG-P7-DEP-215</t>
  </si>
  <si>
    <t>Figure bytes, caption and alternative text OG-F06</t>
  </si>
  <si>
    <t>OG-P7-DEP-216</t>
  </si>
  <si>
    <t>Figure bytes, caption and alternative text OG-F07</t>
  </si>
  <si>
    <t>OG-P7-DEP-217</t>
  </si>
  <si>
    <t>🔍✅ Checks</t>
  </si>
  <si>
    <t>4 — Target Revision</t>
  </si>
  <si>
    <t>5 — Check Instruction</t>
  </si>
  <si>
    <t>6 — Executing Run</t>
  </si>
  <si>
    <t>7 — Check Kind</t>
  </si>
  <si>
    <t>8 — Result</t>
  </si>
  <si>
    <t>9 — Expected Result</t>
  </si>
  <si>
    <t>10 — Observed Result</t>
  </si>
  <si>
    <t>11 — Evidence Files</t>
  </si>
  <si>
    <t>12 — Evaluator</t>
  </si>
  <si>
    <t>13 — Previous Check</t>
  </si>
  <si>
    <t>f04_target_revision</t>
  </si>
  <si>
    <t>f05_check_instruction</t>
  </si>
  <si>
    <t>f06_executing_run</t>
  </si>
  <si>
    <t>f07_check_kind</t>
  </si>
  <si>
    <t>f08_result</t>
  </si>
  <si>
    <t>f09_expected_result</t>
  </si>
  <si>
    <t>f10_observed_result</t>
  </si>
  <si>
    <t>f11_evidence_files</t>
  </si>
  <si>
    <t>f12_evaluator</t>
  </si>
  <si>
    <t>f13_previous_check</t>
  </si>
  <si>
    <t>CHK-F01-SVG</t>
  </si>
  <si>
    <t>PASS</t>
  </si>
  <si>
    <t>SHA-256 and size equal retained manifest.</t>
  </si>
  <si>
    <t>Actual bytes match manifest: 6c4ddcb17a040bc4fb213a5603595a4e4d88dec9a020fd4c2c2a5fc4ed12cc84</t>
  </si>
  <si>
    <t>["MANIFEST"]</t>
  </si>
  <si>
    <t>Build-time SHA-256 comparison</t>
  </si>
  <si>
    <t>CHK-F01-PNG</t>
  </si>
  <si>
    <t>Actual bytes match manifest: 43e8867fa68bf539e1b92c57910d54e4477d4a1392b5f15826ee1a0e267f149b</t>
  </si>
  <si>
    <t>CHK-F02-SVG</t>
  </si>
  <si>
    <t>Actual bytes match manifest: b3a50c9c73f45c4a08fcd722fd7439832326bcdba01d323bd187cf6d52a07448</t>
  </si>
  <si>
    <t>CHK-F02-PNG</t>
  </si>
  <si>
    <t>Actual bytes match manifest: f10f250ffaad2667380e699d9815bceed5e66a62031542a1b3782cb78777bf18</t>
  </si>
  <si>
    <t>CHK-F03-SVG</t>
  </si>
  <si>
    <t>Actual bytes match manifest: f481cac2f5f84a4cc1af02e5e7b2b899c3d325d9f656c0e912aacae6061dfd3f</t>
  </si>
  <si>
    <t>CHK-F03-PNG</t>
  </si>
  <si>
    <t>Actual bytes match manifest: 66f99048f65d84769d331aab4be38f110af819dacbc16772e17a6911adaf339c</t>
  </si>
  <si>
    <t>CHK-F04-SVG</t>
  </si>
  <si>
    <t>Actual bytes match manifest: ef411289e6a97ec934d9c22bb23f142e85bfe65f0732cbe3c040e39b3ccbda9a</t>
  </si>
  <si>
    <t>CHK-F04-PNG</t>
  </si>
  <si>
    <t>Actual bytes match manifest: cc60c99cccbf9e520922d56952ca00f0526bddd0bc9e4ba1a9191e5075829045</t>
  </si>
  <si>
    <t>CHK-F05-SVG</t>
  </si>
  <si>
    <t>Actual bytes match manifest: 6cc5dc6f3193dc5a2c26eeac93fafaf55df675e6b8796e8355b5bd51b0326a87</t>
  </si>
  <si>
    <t>CHK-F05-PNG</t>
  </si>
  <si>
    <t>Actual bytes match manifest: 0ca943ad9cd791679f7ccca681a2c0c9edf6479f6dd5b345839ad0c3bee926d9</t>
  </si>
  <si>
    <t>CHK-F06-SVG</t>
  </si>
  <si>
    <t>Actual bytes match manifest: 35e0d3382057dffefb627d03f18a154e196968f853c025e3a1c01998d8b72913</t>
  </si>
  <si>
    <t>CHK-F06-PNG</t>
  </si>
  <si>
    <t>Actual bytes match manifest: eecae5bdbf63e645521d0f0301401dff7b62db2ed2a55bd163e6bed8d1b95a86</t>
  </si>
  <si>
    <t>CHK-F07-SVG</t>
  </si>
  <si>
    <t>Actual bytes match manifest: 3b54f5344684a5cb98f9052fe5fb537aaba9575ddbb6183b946572016e9cdd94</t>
  </si>
  <si>
    <t>CHK-F07-PNG</t>
  </si>
  <si>
    <t>Actual bytes match manifest: 28214dc6981c8c30fe9651c5d583a3b2a5fdf4c66de5b4069c85c5ed7871bb1f</t>
  </si>
  <si>
    <t>CHK-F08-SVG</t>
  </si>
  <si>
    <t>Actual bytes match manifest: d83526aa346b9bdcccc248612653a20b6e1b05e76701722447514d0517e7bd81</t>
  </si>
  <si>
    <t>CHK-F08-PNG</t>
  </si>
  <si>
    <t>Actual bytes match manifest: 0f5382a8cca7a370c2ccda9ddc000c0c58d79ab9f6776dac938151c3792beedf</t>
  </si>
  <si>
    <t>OG-A01 reference validation</t>
  </si>
  <si>
    <t>Wave A reference source and file validation.</t>
  </si>
  <si>
    <t>OG-A01-CHECK</t>
  </si>
  <si>
    <t>Pinned source exists; exact reference bytes registered; links resolve.</t>
  </si>
  <si>
    <t>Wave A extraction and link validation passed; see Wave_A_Verification.json.</t>
  </si>
  <si>
    <t>["OG-A01-FILE"]</t>
  </si>
  <si>
    <t>Wave A build validation</t>
  </si>
  <si>
    <t>OG-A02 reference validation</t>
  </si>
  <si>
    <t>OG-A02-CHECK</t>
  </si>
  <si>
    <t>["OG-A02-FILE"]</t>
  </si>
  <si>
    <t>OG-A05 reference validation</t>
  </si>
  <si>
    <t>OG-A05-CHECK</t>
  </si>
  <si>
    <t>["OG-A05-FILE"]</t>
  </si>
  <si>
    <t>OG-A03_Visual_Notation.json validation</t>
  </si>
  <si>
    <t>Wave B source and visual checks.</t>
  </si>
  <si>
    <t>OG-B-NOTATION-CHECK</t>
  </si>
  <si>
    <t>SEMANTIC</t>
  </si>
  <si>
    <t>Conforms to the registered shared asset requirement.</t>
  </si>
  <si>
    <t>Canonical schema symbols retained.</t>
  </si>
  <si>
    <t>["OG-B-NOTATION"]</t>
  </si>
  <si>
    <t>Wave B inspection</t>
  </si>
  <si>
    <t>OG-A04_Components.svg validation</t>
  </si>
  <si>
    <t>OG-B-COMPONENTS-CHECK</t>
  </si>
  <si>
    <t>VISUAL</t>
  </si>
  <si>
    <t>Readable exported sample and editable text checked.</t>
  </si>
  <si>
    <t>["OG-B-SAMPLE","OG-B-FONT"]</t>
  </si>
  <si>
    <t>OG-A06_Figure_Text.json validation</t>
  </si>
  <si>
    <t>OG-B-TEXT-CHECK</t>
  </si>
  <si>
    <t>Seven contracts have titles, required labels, captions, alt text and qualifications.</t>
  </si>
  <si>
    <t>["OG-B-TEXT"]</t>
  </si>
  <si>
    <t>OG-F01-EVIDENCE-CHECK</t>
  </si>
  <si>
    <t>Wave C verification.</t>
  </si>
  <si>
    <t>Figure meets its declared contract and resolves registered references.</t>
  </si>
  <si>
    <t>Package roles reflect implemented and planned capabilities.</t>
  </si>
  <si>
    <t>["OG-F01-EVIDENCE"]</t>
  </si>
  <si>
    <t>Local source comparison and rendered image inspection</t>
  </si>
  <si>
    <t>OG-F01-VISUAL-CHECK</t>
  </si>
  <si>
    <t>SVG/PNG show readable labels, distinct edge types, no overlap or clipped text, and explicit capability boundaries.</t>
  </si>
  <si>
    <t>["OG-F01-PNG","OG-F01-SVG"]</t>
  </si>
  <si>
    <t>OG-F01-SEMANTIC-CHECK</t>
  </si>
  <si>
    <t>Required figure labels, caption, alternative text and source relationships agree.</t>
  </si>
  <si>
    <t>OG-F03-EVIDENCE-CHECK</t>
  </si>
  <si>
    <t>Exact field numbers, stored target, instruction text and reverse-lookup result match workbook records.</t>
  </si>
  <si>
    <t>["OG-F03-EVIDENCE"]</t>
  </si>
  <si>
    <t>OG-F03-VISUAL-CHECK</t>
  </si>
  <si>
    <t>["OG-F03-PNG","OG-F03-SVG"]</t>
  </si>
  <si>
    <t>OG-F03-SEMANTIC-CHECK</t>
  </si>
  <si>
    <t>OG-F02-EVIDENCE-CHECK</t>
  </si>
  <si>
    <t>Wave D verification.</t>
  </si>
  <si>
    <t>All 18 source Field numbers and target Tables match the registered schema.</t>
  </si>
  <si>
    <t>["OG-F02-EVIDENCE"]</t>
  </si>
  <si>
    <t>OG-F02-VISUAL-CHECK</t>
  </si>
  <si>
    <t>["OG-F02-PNG","OG-F02-SVG"]</t>
  </si>
  <si>
    <t>OG-F02-SEMANTIC-CHECK</t>
  </si>
  <si>
    <t>OG-F04-EVIDENCE-CHECK</t>
  </si>
  <si>
    <t>Wave E verification.</t>
  </si>
  <si>
    <t>Five DEMO placements sort correctly, match registered typed Slots, and reject duplicate positions, wrong Slots and double payloads.</t>
  </si>
  <si>
    <t>["OG-F04-EVIDENCE"]</t>
  </si>
  <si>
    <t>OG-F04-VISUAL-CHECK</t>
  </si>
  <si>
    <t>["OG-F04-PNG","OG-F04-SVG"]</t>
  </si>
  <si>
    <t>OG-F04-SEMANTIC-CHECK</t>
  </si>
  <si>
    <t>OG-F05-EVIDENCE-CHECK</t>
  </si>
  <si>
    <t>Wave F verification.</t>
  </si>
  <si>
    <t>Fixed local requirement and Rules; YES appends only Added Details. Include remains a retrieval filter, Exclude remains active, and both result sets are empty.</t>
  </si>
  <si>
    <t>["OG-F05-EVIDENCE"]</t>
  </si>
  <si>
    <t>OG-F05-VISUAL-CHECK</t>
  </si>
  <si>
    <t>["OG-F05-PNG","OG-F05-SVG"]</t>
  </si>
  <si>
    <t>OG-F05-SEMANTIC-CHECK</t>
  </si>
  <si>
    <t>OG-F06-EVIDENCE-CHECK</t>
  </si>
  <si>
    <t>Wave G verification.</t>
  </si>
  <si>
    <t>Bounded DEMO relationships and identities checked; independent branch preserved; incomplete promotion rejected; zero transform retained.</t>
  </si>
  <si>
    <t>["OG-F06-EVIDENCE"]</t>
  </si>
  <si>
    <t>OG-F06-VISUAL-CHECK</t>
  </si>
  <si>
    <t>["OG-F06-PNG","OG-F06-SVG"]</t>
  </si>
  <si>
    <t>OG-F06-SEMANTIC-CHECK</t>
  </si>
  <si>
    <t>OG-F07-EVIDENCE-CHECK</t>
  </si>
  <si>
    <t>["OG-F07-EVIDENCE"]</t>
  </si>
  <si>
    <t>OG-F07-VISUAL-CHECK</t>
  </si>
  <si>
    <t>["OG-F07-PNG","OG-F07-SVG"]</t>
  </si>
  <si>
    <t>OG-F07-SEMANTIC-CHECK</t>
  </si>
  <si>
    <t>OG-F01 combined audit</t>
  </si>
  <si>
    <t>Whole-set coverage, files and placement audit.</t>
  </si>
  <si>
    <t>OG-F01-H-CHECK</t>
  </si>
  <si>
    <t>CONFORMANCE</t>
  </si>
  <si>
    <t>One placed output; required selected checked assets; exact bytes; caption and alternative text.</t>
  </si>
  <si>
    <t>Passed combined source audit and visual consistency review. Word pagination remains pending.</t>
  </si>
  <si>
    <t>["OG-H-AUDIT","OG-H-MANIFEST"]</t>
  </si>
  <si>
    <t>Local combined audit and rendered figure review</t>
  </si>
  <si>
    <t>OG-F02 combined audit</t>
  </si>
  <si>
    <t>OG-F02-H-CHECK</t>
  </si>
  <si>
    <t>OG-F03 combined audit</t>
  </si>
  <si>
    <t>OG-F03-H-CHECK</t>
  </si>
  <si>
    <t>OG-F04 combined audit</t>
  </si>
  <si>
    <t>OG-F04-H-CHECK</t>
  </si>
  <si>
    <t>OG-F05 combined audit</t>
  </si>
  <si>
    <t>OG-F05-H-CHECK</t>
  </si>
  <si>
    <t>OG-F06 combined audit</t>
  </si>
  <si>
    <t>OG-F06-H-CHECK</t>
  </si>
  <si>
    <t>OG-F07 combined audit</t>
  </si>
  <si>
    <t>OG-F07-H-CHECK</t>
  </si>
  <si>
    <t>Pass 7 page and composition check</t>
  </si>
  <si>
    <t>Actual candidate composition inspection.</t>
  </si>
  <si>
    <t>OG-P7-CHECK</t>
  </si>
  <si>
    <t>Twelve sections, seven exact figures; no clipped captions; readable page layout.</t>
  </si>
  <si>
    <t>21 rendered pages inspected; all seven captions remain with their figures; exact alternative text retained.</t>
  </si>
  <si>
    <t>["OG-P7-QA","OG-P7-TRACE"]</t>
  </si>
  <si>
    <t>Local Word-compatible rendering and page-by-page visual review</t>
  </si>
  <si>
    <t>CONTENT final check</t>
  </si>
  <si>
    <t>Scoped paper release verification.</t>
  </si>
  <si>
    <t>OG-P8-CONTENT</t>
  </si>
  <si>
    <t>Approved paper conforms within the documented offline paper scope.</t>
  </si>
  <si>
    <t>Twelve sections preserve workbook meanings and implementation qualifications; seven figure contracts satisfied.</t>
  </si>
  <si>
    <t>["OG-P8-AUDIT","OG-P8-REVIEW"]</t>
  </si>
  <si>
    <t>Source comparison, byte audit and retained rendered-page evidence</t>
  </si>
  <si>
    <t>ORDER final check</t>
  </si>
  <si>
    <t>OG-P8-ORDER</t>
  </si>
  <si>
    <t>31 placements resolve in exact rendered order with typed Slots and exclusive payloads.</t>
  </si>
  <si>
    <t>FILES final check</t>
  </si>
  <si>
    <t>OG-P8-FILES</t>
  </si>
  <si>
    <t>All 42 registered OctoGroove physical files match size and SHA-256; seven embedded figure PNG bytes match.</t>
  </si>
  <si>
    <t>PAGES final check</t>
  </si>
  <si>
    <t>OG-P8-PAGES</t>
  </si>
  <si>
    <t>Unchanged 21-page candidate retains the inspected Pass 7 layout; exact captions and alternative text verified.</t>
  </si>
  <si>
    <t>🔧⚠️ Issues</t>
  </si>
  <si>
    <t>5 — Origin Check</t>
  </si>
  <si>
    <t>6 — Affected Revisions</t>
  </si>
  <si>
    <t>7 — Owning Pass</t>
  </si>
  <si>
    <t>8 — Issue Kind</t>
  </si>
  <si>
    <t>9 — Severity</t>
  </si>
  <si>
    <t>10 — Issue State</t>
  </si>
  <si>
    <t>11 — Repair Run</t>
  </si>
  <si>
    <t>12 — Resolution</t>
  </si>
  <si>
    <t>13 — Rechecks</t>
  </si>
  <si>
    <t>f05_origin_check</t>
  </si>
  <si>
    <t>f06_affected_revisions</t>
  </si>
  <si>
    <t>f07_owning_pass</t>
  </si>
  <si>
    <t>f08_issue_kind</t>
  </si>
  <si>
    <t>f09_severity</t>
  </si>
  <si>
    <t>f10_issue_state</t>
  </si>
  <si>
    <t>f11_repair_run</t>
  </si>
  <si>
    <t>f12_resolution</t>
  </si>
  <si>
    <t>f13_rechecks</t>
  </si>
  <si>
    <t>WA-01</t>
  </si>
  <si>
    <t>B1/C1 extension code conflict: old figures 13 versus prose 15.</t>
  </si>
  <si>
    <t>["R-DOC-FINAL"]</t>
  </si>
  <si>
    <t>OPEN DECISION</t>
  </si>
  <si>
    <t>NONBLOCKING</t>
  </si>
  <si>
    <t>DEFERRED</t>
  </si>
  <si>
    <t>Retained candidate issue; no silent code decision.</t>
  </si>
  <si>
    <t>WA-02</t>
  </si>
  <si>
    <t>Exact live MASK registration alias not verified.</t>
  </si>
  <si>
    <t>WA-03</t>
  </si>
  <si>
    <t>ABSOLUTE basis versus absolute-value polarity needs clarification.</t>
  </si>
  <si>
    <t>WA-09</t>
  </si>
  <si>
    <t>Specialist-derived C1 encoding remains unspecified.</t>
  </si>
  <si>
    <t>Native desktop Excel execution remains pending</t>
  </si>
  <si>
    <t>Outside the reviewed paper release; required for the later workbook distribution scope.</t>
  </si>
  <si>
    <t>OG-P8-EXCEL</t>
  </si>
  <si>
    <t>["R-OG-P7-DOC"]</t>
  </si>
  <si>
    <t>Tracked explicitly; no verification claim for this capability.</t>
  </si>
  <si>
    <t>Starter capacity alignment and clone checks required before public matched pair</t>
  </si>
  <si>
    <t>OG-P8-STARTER</t>
  </si>
  <si>
    <t>👤✅ Approvals</t>
  </si>
  <si>
    <t>5 — Review Run</t>
  </si>
  <si>
    <t>6 — Decision</t>
  </si>
  <si>
    <t>7 — Decision Maker</t>
  </si>
  <si>
    <t>8 — Decision Evidence</t>
  </si>
  <si>
    <t>9 — Reviewed Checks</t>
  </si>
  <si>
    <t>10 — Related Issues</t>
  </si>
  <si>
    <t>11 — Supersedes Decision</t>
  </si>
  <si>
    <t>f05_review_run</t>
  </si>
  <si>
    <t>f06_decision</t>
  </si>
  <si>
    <t>f07_decision_maker</t>
  </si>
  <si>
    <t>f08_decision_evidence</t>
  </si>
  <si>
    <t>f09_reviewed_checks</t>
  </si>
  <si>
    <t>f10_related_issues</t>
  </si>
  <si>
    <t>f11_supersedes_decision</t>
  </si>
  <si>
    <t>📦🏁 Releases</t>
  </si>
  <si>
    <t>5 — Release Kind</t>
  </si>
  <si>
    <t>6 — Primary File</t>
  </si>
  <si>
    <t>7 — Included Revisions</t>
  </si>
  <si>
    <t>8 — Package File</t>
  </si>
  <si>
    <t>9 — Release Checks</t>
  </si>
  <si>
    <t>10 — Known Issues</t>
  </si>
  <si>
    <t>11 — Release Notes</t>
  </si>
  <si>
    <t>12 — Release Readiness</t>
  </si>
  <si>
    <t>f05_release_kind</t>
  </si>
  <si>
    <t>f06_primary_file</t>
  </si>
  <si>
    <t>f07_included_revisions</t>
  </si>
  <si>
    <t>f08_package_file</t>
  </si>
  <si>
    <t>f09_release_checks</t>
  </si>
  <si>
    <t>f10_known_issues</t>
  </si>
  <si>
    <t>f11_release_notes</t>
  </si>
  <si>
    <t>f12_release_readiness</t>
  </si>
  <si>
    <t>Listed revisions</t>
  </si>
  <si>
    <t>Resolved revisions</t>
  </si>
  <si>
    <t>Listed checks</t>
  </si>
  <si>
    <t>Accepted checks</t>
  </si>
  <si>
    <t>Blocking issues</t>
  </si>
  <si>
    <t>Noncurrent dependencies</t>
  </si>
  <si>
    <t>["R-DOC-FINAL","R-OUTPUT-F01","R-OUTPUT-F02","R-OUTPUT-F03","R-OUTPUT-F04","R-OUTPUT-F05","R-OUTPUT-F06","R-OUTPUT-F07","R-OUTPUT-F08"]</t>
  </si>
  <si>
    <t>[]</t>
  </si>
  <si>
    <t>["WA-01","WA-02","WA-03","WA-09"]</t>
  </si>
  <si>
    <t>Historical release gate not reconstructed. Readiness intentionally remains NOT READY until a complete release-specific check set is recorded. This does not rescind earlier user approvals.</t>
  </si>
  <si>
    <t>Final paper review; companion operational workbook supplied with explicit limits.</t>
  </si>
  <si>
    <t>["R-OG-P7-DOC","R-OG-F01-OUTPUT","R-OG-F02-OUTPUT","R-OG-F03-OUTPUT","R-OG-F04-OUTPUT","R-OG-F05-OUTPUT","R-OG-F06-OUTPUT","R-OG-F07-OUTPUT"]</t>
  </si>
  <si>
    <t>["OG-P8-CONTENT","OG-P8-ORDER","OG-P8-FILES","OG-P8-PAGES"]</t>
  </si>
  <si>
    <t>["OG-P8-EXCEL","OG-P8-STARTER"]</t>
  </si>
  <si>
    <t>Pass 8 approves the exact Pass 7 document bytes. Candidate wording records its composition stage; Pass8_Review.md records final status. This release covers the paper, not native Excel certification, starter parity, live Sites behavior or completed EFFECTS trials.</t>
  </si>
  <si>
    <t>🗂️📖 Table Dictionary</t>
  </si>
  <si>
    <t>4 — Symbol</t>
  </si>
  <si>
    <t>5 — Machine Name</t>
  </si>
  <si>
    <t>6 — Table Order</t>
  </si>
  <si>
    <t>7 — Record Meaning</t>
  </si>
  <si>
    <t>8 — Identity Rule</t>
  </si>
  <si>
    <t>9 — Revision Rule</t>
  </si>
  <si>
    <t>10 — Traversal Rules</t>
  </si>
  <si>
    <t>11 — Clone Rule</t>
  </si>
  <si>
    <t>f04_symbol</t>
  </si>
  <si>
    <t>f05_machine_name</t>
  </si>
  <si>
    <t>f06_table_order</t>
  </si>
  <si>
    <t>f07_record_meaning</t>
  </si>
  <si>
    <t>f08_identity_rule</t>
  </si>
  <si>
    <t>f09_revision_rule</t>
  </si>
  <si>
    <t>f10_traversal_rules</t>
  </si>
  <si>
    <t>f11_clone_rule</t>
  </si>
  <si>
    <t>Projects</t>
  </si>
  <si>
    <t>og_projects</t>
  </si>
  <si>
    <t>Field 3 is unique and immutable. Ignore fully blank rows.</t>
  </si>
  <si>
    <t>Execution events remain historical; work states may be updated with evidence.</t>
  </si>
  <si>
    <t>4 Template Release -&gt; Releases
7 Active Pass Run -&gt; Pass Runs
8 Current Candidate -&gt; File Revisions
9 Current Release -&gt; Releases
12 Template -&gt; Templates
13 Ruleset -&gt; Rulesets
14 Theme -&gt; Themes</t>
  </si>
  <si>
    <t>Use starter file; clear worked-example history and remap copied IDs.</t>
  </si>
  <si>
    <t>["I-T01"]</t>
  </si>
  <si>
    <t>Pass Definitions</t>
  </si>
  <si>
    <t>og_pass_definitions</t>
  </si>
  <si>
    <t>New revision means new payload row and registry row. Preserve old rows.</t>
  </si>
  <si>
    <t>4 Revision -&gt; Record Revisions
12 Instructions -&gt; Instructions</t>
  </si>
  <si>
    <t>Retain reusable definitions.</t>
  </si>
  <si>
    <t>Pass Runs</t>
  </si>
  <si>
    <t>og_pass_runs</t>
  </si>
  <si>
    <t>4 Project -&gt; Projects
5 Pass Definition -&gt; Pass Definitions
6 Parent Run -&gt; Pass Runs
9 Previous Attempt -&gt; Pass Runs</t>
  </si>
  <si>
    <t>["I-T03"]</t>
  </si>
  <si>
    <t>og_instructions</t>
  </si>
  <si>
    <t>4 Revision -&gt; Record Revisions
6 Target Table -&gt; Table Dictionary
7 Target Field -&gt; Field Dictionary</t>
  </si>
  <si>
    <t>["I-T04"]</t>
  </si>
  <si>
    <t>og_record_revisions</t>
  </si>
  <si>
    <t>6 Project -&gt; Projects
7 Payload Table -&gt; Table Dictionary
9 Previous Revision -&gt; Record Revisions
10 Producing Run -&gt; Pass Runs</t>
  </si>
  <si>
    <t>["I-T05"]</t>
  </si>
  <si>
    <t>Sources</t>
  </si>
  <si>
    <t>og_sources</t>
  </si>
  <si>
    <t>4 Revision -&gt; Record Revisions
6 Local Snapshot -&gt; File Revisions</t>
  </si>
  <si>
    <t>["I-T06"]</t>
  </si>
  <si>
    <t>Content Items</t>
  </si>
  <si>
    <t>og_content_items</t>
  </si>
  <si>
    <t>4 Revision -&gt; Record Revisions
6 Parent Item -&gt; Content Items</t>
  </si>
  <si>
    <t>["I-T07"]</t>
  </si>
  <si>
    <t>og_figure_contracts</t>
  </si>
  <si>
    <t>4 Revision -&gt; Record Revisions</t>
  </si>
  <si>
    <t>["I-T08"]</t>
  </si>
  <si>
    <t>og_asset_requirements</t>
  </si>
  <si>
    <t>["I-T09"]</t>
  </si>
  <si>
    <t>File Revisions</t>
  </si>
  <si>
    <t>og_file_revisions</t>
  </si>
  <si>
    <t>["I-T10"]</t>
  </si>
  <si>
    <t>og_figure_outputs</t>
  </si>
  <si>
    <t>4 Revision -&gt; Record Revisions
5 Figure Contract -&gt; Figure Contracts
6 Display File -&gt; File Revisions
7 Editable Files -&gt; File Revisions
8 Used Fulfillments -&gt; Requirement Fulfillment</t>
  </si>
  <si>
    <t>["I-T11"]</t>
  </si>
  <si>
    <t>Document Placements</t>
  </si>
  <si>
    <t>og_document_placements</t>
  </si>
  <si>
    <t>4 Revision -&gt; Record Revisions
5 Document Revision -&gt; File Revisions
8 Content Item -&gt; Content Items
9 Figure Output -&gt; Figure Outputs
13 Document Plan -&gt; Document Plans
15 Template Slot -&gt; Template Slots</t>
  </si>
  <si>
    <t>["I-T12"]</t>
  </si>
  <si>
    <t>Dependencies</t>
  </si>
  <si>
    <t>og_dependencies</t>
  </si>
  <si>
    <t>4 Upstream Revision -&gt; Record Revisions
5 Downstream Revision -&gt; Record Revisions
10 Trigger Revision -&gt; Record Revisions
11 Recheck -&gt; Checks</t>
  </si>
  <si>
    <t>["I-T13"]</t>
  </si>
  <si>
    <t>Checks</t>
  </si>
  <si>
    <t>og_checks</t>
  </si>
  <si>
    <t>4 Target Revision -&gt; Record Revisions
5 Check Instruction -&gt; Instructions
6 Executing Run -&gt; Pass Runs
11 Evidence Files -&gt; File Revisions
13 Previous Check -&gt; Checks</t>
  </si>
  <si>
    <t>["I-T14"]</t>
  </si>
  <si>
    <t>Issues</t>
  </si>
  <si>
    <t>og_issues</t>
  </si>
  <si>
    <t>4 Project -&gt; Projects
5 Origin Check -&gt; Checks
6 Affected Revisions -&gt; Record Revisions
7 Owning Pass -&gt; Pass Definitions
11 Repair Run -&gt; Pass Runs
13 Rechecks -&gt; Checks</t>
  </si>
  <si>
    <t>["I-T15"]</t>
  </si>
  <si>
    <t>Approvals</t>
  </si>
  <si>
    <t>og_approvals</t>
  </si>
  <si>
    <t>4 Target Revision -&gt; Record Revisions
5 Review Run -&gt; Pass Runs
9 Reviewed Checks -&gt; Checks
10 Related Issues -&gt; Issues
11 Supersedes Decision -&gt; Approvals</t>
  </si>
  <si>
    <t>["I-T16"]</t>
  </si>
  <si>
    <t>Releases</t>
  </si>
  <si>
    <t>og_releases</t>
  </si>
  <si>
    <t>4 Revision -&gt; Record Revisions
6 Primary File -&gt; File Revisions
7 Included Revisions -&gt; Record Revisions
8 Package File -&gt; File Revisions
9 Release Checks -&gt; Checks
10 Known Issues -&gt; Issues</t>
  </si>
  <si>
    <t>["I-T17"]</t>
  </si>
  <si>
    <t>Table Dictionary</t>
  </si>
  <si>
    <t>og_table_dictionary</t>
  </si>
  <si>
    <t>12 Instructions -&gt; Instructions</t>
  </si>
  <si>
    <t>["I-T18"]</t>
  </si>
  <si>
    <t>Field Dictionary</t>
  </si>
  <si>
    <t>og_field_dictionary</t>
  </si>
  <si>
    <t>4 Table -&gt; Table Dictionary
10 Linked Table -&gt; Table Dictionary
15 Instructions -&gt; Instructions</t>
  </si>
  <si>
    <t>["I-T19"]</t>
  </si>
  <si>
    <t>Source Support</t>
  </si>
  <si>
    <t>og_source_support</t>
  </si>
  <si>
    <t>4 Source -&gt; Sources
5 Content Item -&gt; Content Items</t>
  </si>
  <si>
    <t>["I-T20"]</t>
  </si>
  <si>
    <t>Figure Coverage</t>
  </si>
  <si>
    <t>og_figure_coverage</t>
  </si>
  <si>
    <t>4 Figure Contract -&gt; Figure Contracts
5 Content Item -&gt; Content Items</t>
  </si>
  <si>
    <t>["I-T21"]</t>
  </si>
  <si>
    <t>Figure Requirements</t>
  </si>
  <si>
    <t>og_figure_requirements</t>
  </si>
  <si>
    <t>4 Figure Contract -&gt; Figure Contracts
5 Asset Requirement -&gt; Asset Requirements</t>
  </si>
  <si>
    <t>["I-T22"]</t>
  </si>
  <si>
    <t>Requirement Fulfillment</t>
  </si>
  <si>
    <t>og_requirement_fulfillment</t>
  </si>
  <si>
    <t>4 Asset Requirement -&gt; Asset Requirements
5 File Revision -&gt; File Revisions
7 Fulfillment Checks -&gt; Checks</t>
  </si>
  <si>
    <t>["I-T23"]</t>
  </si>
  <si>
    <t>Run Artifacts</t>
  </si>
  <si>
    <t>og_run_artifacts</t>
  </si>
  <si>
    <t>4 Pass Run -&gt; Pass Runs
5 Artifact Revision -&gt; Record Revisions
9 Input Approval -&gt; Approvals</t>
  </si>
  <si>
    <t>["I-T24"]</t>
  </si>
  <si>
    <t>Document Plans</t>
  </si>
  <si>
    <t>og_document_plans</t>
  </si>
  <si>
    <t>4 Revision -&gt; Record Revisions
5 Project -&gt; Projects
6 Template -&gt; Templates
7 Ruleset -&gt; Rulesets
8 Theme -&gt; Themes
10 Candidate File -&gt; File Revisions</t>
  </si>
  <si>
    <t>["I-T25"]</t>
  </si>
  <si>
    <t>Templates</t>
  </si>
  <si>
    <t>og_templates</t>
  </si>
  <si>
    <t>4 Revision -&gt; Record Revisions
7 Default Ruleset -&gt; Rulesets
8 Default Theme -&gt; Themes</t>
  </si>
  <si>
    <t>["I-T26"]</t>
  </si>
  <si>
    <t>Template Slots</t>
  </si>
  <si>
    <t>og_template_slots</t>
  </si>
  <si>
    <t>4 Revision -&gt; Record Revisions
5 Template -&gt; Templates</t>
  </si>
  <si>
    <t>["I-T27"]</t>
  </si>
  <si>
    <t>Rulesets</t>
  </si>
  <si>
    <t>og_rulesets</t>
  </si>
  <si>
    <t>4 Revision -&gt; Record Revisions
5 Rules -&gt; Rules</t>
  </si>
  <si>
    <t>["I-T28"]</t>
  </si>
  <si>
    <t>Rules</t>
  </si>
  <si>
    <t>og_rules</t>
  </si>
  <si>
    <t>4 Revision -&gt; Record Revisions
11 Check Instruction -&gt; Instructions</t>
  </si>
  <si>
    <t>["I-T29"]</t>
  </si>
  <si>
    <t>Themes</t>
  </si>
  <si>
    <t>og_themes</t>
  </si>
  <si>
    <t>["I-T30"]</t>
  </si>
  <si>
    <t>Assembly Components</t>
  </si>
  <si>
    <t>og_assembly_components</t>
  </si>
  <si>
    <t>4 Revision -&gt; Record Revisions
5 Assembly File -&gt; File Revisions
6 Component File -&gt; File Revisions</t>
  </si>
  <si>
    <t>["I-T31"]</t>
  </si>
  <si>
    <t>Generation Requests</t>
  </si>
  <si>
    <t>og_generation_requests</t>
  </si>
  <si>
    <t>4 Revision -&gt; Record Revisions
5 Project -&gt; Projects
6 Asset Requirement -&gt; Asset Requirements
7 Ruleset -&gt; Rulesets
8 Theme -&gt; Themes
11 Readback Sources -&gt; Record Revisions
13 Result Files -&gt; File Revisions</t>
  </si>
  <si>
    <t>["I-T32"]</t>
  </si>
  <si>
    <t>Asset Lifecycle</t>
  </si>
  <si>
    <t>og_asset_lifecycle</t>
  </si>
  <si>
    <t>4 Project -&gt; Projects
5 File Revision -&gt; File Revisions
10 Previous Event -&gt; Asset Lifecycle</t>
  </si>
  <si>
    <t>["I-T33"]</t>
  </si>
  <si>
    <t>🔢📖 Field Dictionary</t>
  </si>
  <si>
    <t>4 — Table</t>
  </si>
  <si>
    <t>5 — Field Number</t>
  </si>
  <si>
    <t>6 — Machine Name</t>
  </si>
  <si>
    <t>7 — Field Type</t>
  </si>
  <si>
    <t>8 — Required When</t>
  </si>
  <si>
    <t>9 — Allowed Values</t>
  </si>
  <si>
    <t>10 — Linked Table</t>
  </si>
  <si>
    <t>11 — Minimum Links</t>
  </si>
  <si>
    <t>12 — Maximum Links</t>
  </si>
  <si>
    <t>13 — Derivation</t>
  </si>
  <si>
    <t>14 — Validation Rule</t>
  </si>
  <si>
    <t>15 — Instructions</t>
  </si>
  <si>
    <t>16 — Clone Rule</t>
  </si>
  <si>
    <t>f04_table</t>
  </si>
  <si>
    <t>f05_field_number</t>
  </si>
  <si>
    <t>f06_machine_name</t>
  </si>
  <si>
    <t>f07_field_type</t>
  </si>
  <si>
    <t>f08_required_when</t>
  </si>
  <si>
    <t>f09_allowed_values</t>
  </si>
  <si>
    <t>f10_linked_table</t>
  </si>
  <si>
    <t>f11_minimum_links</t>
  </si>
  <si>
    <t>f12_maximum_links</t>
  </si>
  <si>
    <t>f13_derivation</t>
  </si>
  <si>
    <t>f14_validation_rule</t>
  </si>
  <si>
    <t>f15_instructions</t>
  </si>
  <si>
    <t>f16_clone_rule</t>
  </si>
  <si>
    <t>["I-T01-F01"]</t>
  </si>
  <si>
    <t>Follow owning Table and revision Clone Treatment.</t>
  </si>
  <si>
    <t>Description</t>
  </si>
  <si>
    <t>LONG TEXT</t>
  </si>
  <si>
    <t>["I-T01-F02"]</t>
  </si>
  <si>
    <t>["I-T01-F03"]</t>
  </si>
  <si>
    <t>Generate new ID for copied project records; retain definition IDs.</t>
  </si>
  <si>
    <t>Template Release</t>
  </si>
  <si>
    <t>LINKED RECORD</t>
  </si>
  <si>
    <t>["I-T01-F04"]</t>
  </si>
  <si>
    <t>Remap copied targets; retain reference targets; clear removed history links.</t>
  </si>
  <si>
    <t>Project Mode</t>
  </si>
  <si>
    <t>SINGLE SELECT</t>
  </si>
  <si>
    <t>TEMPLATE,LIVE PROJECT,WORKED EXAMPLE</t>
  </si>
  <si>
    <t>["I-T01-F05"]</t>
  </si>
  <si>
    <t>Scope</t>
  </si>
  <si>
    <t>["I-T01-F06"]</t>
  </si>
  <si>
    <t>Active Pass Run</t>
  </si>
  <si>
    <t>["I-T01-F07"]</t>
  </si>
  <si>
    <t>Current Candidate</t>
  </si>
  <si>
    <t>["I-T01-F08"]</t>
  </si>
  <si>
    <t>Current Release</t>
  </si>
  <si>
    <t>["I-T01-F09"]</t>
  </si>
  <si>
    <t>Work State</t>
  </si>
  <si>
    <t>NOT STARTED,ACTIVE,READY FOR REVIEW,BLOCKED,COMPLETE</t>
  </si>
  <si>
    <t>["I-T01-F10"]</t>
  </si>
  <si>
    <t>Owner</t>
  </si>
  <si>
    <t>["I-T01-F11"]</t>
  </si>
  <si>
    <t>Template</t>
  </si>
  <si>
    <t>["I-T01-F12"]</t>
  </si>
  <si>
    <t>Ruleset</t>
  </si>
  <si>
    <t>["I-T01-F13"]</t>
  </si>
  <si>
    <t>Theme</t>
  </si>
  <si>
    <t>["I-T01-F14"]</t>
  </si>
  <si>
    <t>Execution Policy</t>
  </si>
  <si>
    <t>["I-T01-F15"]</t>
  </si>
  <si>
    <t>["I-T02-F01"]</t>
  </si>
  <si>
    <t>["I-T02-F02"]</t>
  </si>
  <si>
    <t>["I-T02-F03"]</t>
  </si>
  <si>
    <t>Revision</t>
  </si>
  <si>
    <t>["I-T02-F04"]</t>
  </si>
  <si>
    <t>Pass Number</t>
  </si>
  <si>
    <t>INTEGER</t>
  </si>
  <si>
    <t>Integer</t>
  </si>
  <si>
    <t>["I-T02-F05"]</t>
  </si>
  <si>
    <t>Required Inputs</t>
  </si>
  <si>
    <t>["I-T02-F06"]</t>
  </si>
  <si>
    <t>Owned Decisions</t>
  </si>
  <si>
    <t>["I-T02-F07"]</t>
  </si>
  <si>
    <t>Transformation</t>
  </si>
  <si>
    <t>["I-T02-F08"]</t>
  </si>
  <si>
    <t>Required Outputs</t>
  </si>
  <si>
    <t>["I-T02-F09"]</t>
  </si>
  <si>
    <t>Exit Criteria</t>
  </si>
  <si>
    <t>["I-T02-F10"]</t>
  </si>
  <si>
    <t>Repair Routing</t>
  </si>
  <si>
    <t>["I-T02-F11"]</t>
  </si>
  <si>
    <t>LINKED RECORDS</t>
  </si>
  <si>
    <t>JSON array</t>
  </si>
  <si>
    <t>["I-T02-F12"]</t>
  </si>
  <si>
    <t>["I-T03-F01"]</t>
  </si>
  <si>
    <t>["I-T03-F02"]</t>
  </si>
  <si>
    <t>["I-T03-F03"]</t>
  </si>
  <si>
    <t>Project</t>
  </si>
  <si>
    <t>["I-T03-F04"]</t>
  </si>
  <si>
    <t>Pass Definition</t>
  </si>
  <si>
    <t>["I-T03-F05"]</t>
  </si>
  <si>
    <t>Parent Run</t>
  </si>
  <si>
    <t>["I-T03-F06"]</t>
  </si>
  <si>
    <t>Wave Label</t>
  </si>
  <si>
    <t>["I-T03-F07"]</t>
  </si>
  <si>
    <t>Execution Order</t>
  </si>
  <si>
    <t>["I-T03-F08"]</t>
  </si>
  <si>
    <t>Previous Attempt</t>
  </si>
  <si>
    <t>["I-T03-F09"]</t>
  </si>
  <si>
    <t>["I-T03-F10"]</t>
  </si>
  <si>
    <t>Decision Record</t>
  </si>
  <si>
    <t>["I-T03-F11"]</t>
  </si>
  <si>
    <t>Handoff</t>
  </si>
  <si>
    <t>["I-T03-F12"]</t>
  </si>
  <si>
    <t>Evidence Origin</t>
  </si>
  <si>
    <t>CONTEMPORANEOUS,RECONSTRUCTED</t>
  </si>
  <si>
    <t>["I-T03-F13"]</t>
  </si>
  <si>
    <t>["I-T04-F01"]</t>
  </si>
  <si>
    <t>["I-T04-F02"]</t>
  </si>
  <si>
    <t>["I-T04-F03"]</t>
  </si>
  <si>
    <t>["I-T04-F04"]</t>
  </si>
  <si>
    <t>TABLE,FIELD,OPERATION</t>
  </si>
  <si>
    <t>["I-T04-F05"]</t>
  </si>
  <si>
    <t>["I-T04-F06"]</t>
  </si>
  <si>
    <t>Target Field</t>
  </si>
  <si>
    <t>["I-T04-F07"]</t>
  </si>
  <si>
    <t>Read First</t>
  </si>
  <si>
    <t>["I-T04-F08"]</t>
  </si>
  <si>
    <t>Required When</t>
  </si>
  <si>
    <t>["I-T04-F09"]</t>
  </si>
  <si>
    <t>Procedure</t>
  </si>
  <si>
    <t>["I-T04-F10"]</t>
  </si>
  <si>
    <t>Acceptance Rule</t>
  </si>
  <si>
    <t>["I-T04-F11"]</t>
  </si>
  <si>
    <t>Example</t>
  </si>
  <si>
    <t>["I-T04-F12"]</t>
  </si>
  <si>
    <t>Next Traversal</t>
  </si>
  <si>
    <t>["I-T04-F13"]</t>
  </si>
  <si>
    <t>["I-T05-F01"]</t>
  </si>
  <si>
    <t>["I-T05-F02"]</t>
  </si>
  <si>
    <t>["I-T05-F03"]</t>
  </si>
  <si>
    <t>Artifact ID</t>
  </si>
  <si>
    <t>["I-T05-F04"]</t>
  </si>
  <si>
    <t>Revision Number</t>
  </si>
  <si>
    <t>["I-T05-F05"]</t>
  </si>
  <si>
    <t>["I-T05-F06"]</t>
  </si>
  <si>
    <t>Payload Table</t>
  </si>
  <si>
    <t>["I-T05-F07"]</t>
  </si>
  <si>
    <t>Payload Record ID</t>
  </si>
  <si>
    <t>["I-T05-F08"]</t>
  </si>
  <si>
    <t>Previous Revision</t>
  </si>
  <si>
    <t>["I-T05-F09"]</t>
  </si>
  <si>
    <t>Producing Run</t>
  </si>
  <si>
    <t>["I-T05-F10"]</t>
  </si>
  <si>
    <t>Change Summary</t>
  </si>
  <si>
    <t>["I-T05-F11"]</t>
  </si>
  <si>
    <t>CONTEMPORANEOUS,IMPORTED,RECONSTRUCTED</t>
  </si>
  <si>
    <t>["I-T05-F12"]</t>
  </si>
  <si>
    <t>Clone Treatment</t>
  </si>
  <si>
    <t>KEEP AS REFERENCE,COPY AS STARTER,CLEAR</t>
  </si>
  <si>
    <t>["I-T05-F13"]</t>
  </si>
  <si>
    <t>["I-T06-F01"]</t>
  </si>
  <si>
    <t>["I-T06-F02"]</t>
  </si>
  <si>
    <t>["I-T06-F03"]</t>
  </si>
  <si>
    <t>["I-T06-F04"]</t>
  </si>
  <si>
    <t>Source Kind</t>
  </si>
  <si>
    <t>DOCUMENT,DATASET,WEB PAGE,CONVERSATION,OTHER</t>
  </si>
  <si>
    <t>["I-T06-F05"]</t>
  </si>
  <si>
    <t>Local Snapshot</t>
  </si>
  <si>
    <t>["I-T06-F06"]</t>
  </si>
  <si>
    <t>Source URL</t>
  </si>
  <si>
    <t>URL</t>
  </si>
  <si>
    <t>["I-T06-F07"]</t>
  </si>
  <si>
    <t>Source Version</t>
  </si>
  <si>
    <t>["I-T06-F08"]</t>
  </si>
  <si>
    <t>Provenance</t>
  </si>
  <si>
    <t>["I-T06-F09"]</t>
  </si>
  <si>
    <t>Authority Role</t>
  </si>
  <si>
    <t>GOVERNING,SUPPORTING,EXAMPLE</t>
  </si>
  <si>
    <t>["I-T06-F10"]</t>
  </si>
  <si>
    <t>Use Conditions</t>
  </si>
  <si>
    <t>["I-T06-F11"]</t>
  </si>
  <si>
    <t>["I-T07-F01"]</t>
  </si>
  <si>
    <t>["I-T07-F02"]</t>
  </si>
  <si>
    <t>["I-T07-F03"]</t>
  </si>
  <si>
    <t>["I-T07-F04"]</t>
  </si>
  <si>
    <t>Content Kind</t>
  </si>
  <si>
    <t>SECTION,CLAIM,TERM,RULE,EXAMPLE,OPEN QUESTION</t>
  </si>
  <si>
    <t>["I-T07-F05"]</t>
  </si>
  <si>
    <t>Parent Item</t>
  </si>
  <si>
    <t>["I-T07-F06"]</t>
  </si>
  <si>
    <t>Content Order</t>
  </si>
  <si>
    <t>["I-T07-F07"]</t>
  </si>
  <si>
    <t>Text</t>
  </si>
  <si>
    <t>["I-T07-F08"]</t>
  </si>
  <si>
    <t>Scope and Qualifications</t>
  </si>
  <si>
    <t>["I-T07-F09"]</t>
  </si>
  <si>
    <t>Basis</t>
  </si>
  <si>
    <t>SOURCE SUPPORTED,DERIVED,PROPOSED,ILLUSTRATIVE</t>
  </si>
  <si>
    <t>["I-T07-F10"]</t>
  </si>
  <si>
    <t>Acceptance Criteria</t>
  </si>
  <si>
    <t>["I-T07-F11"]</t>
  </si>
  <si>
    <t>["I-T08-F01"]</t>
  </si>
  <si>
    <t>["I-T08-F02"]</t>
  </si>
  <si>
    <t>["I-T08-F03"]</t>
  </si>
  <si>
    <t>["I-T08-F04"]</t>
  </si>
  <si>
    <t>Figure Role ID</t>
  </si>
  <si>
    <t>["I-T08-F05"]</t>
  </si>
  <si>
    <t>Reader Question</t>
  </si>
  <si>
    <t>["I-T08-F06"]</t>
  </si>
  <si>
    <t>Must Show</t>
  </si>
  <si>
    <t>["I-T08-F07"]</t>
  </si>
  <si>
    <t>Must Not Imply</t>
  </si>
  <si>
    <t>["I-T08-F08"]</t>
  </si>
  <si>
    <t>Visual Encoding</t>
  </si>
  <si>
    <t>["I-T08-F09"]</t>
  </si>
  <si>
    <t>Caption Requirements</t>
  </si>
  <si>
    <t>["I-T08-F10"]</t>
  </si>
  <si>
    <t>["I-T08-F11"]</t>
  </si>
  <si>
    <t>["I-T09-F01"]</t>
  </si>
  <si>
    <t>["I-T09-F02"]</t>
  </si>
  <si>
    <t>["I-T09-F03"]</t>
  </si>
  <si>
    <t>["I-T09-F04"]</t>
  </si>
  <si>
    <t>Asset Role ID</t>
  </si>
  <si>
    <t>["I-T09-F05"]</t>
  </si>
  <si>
    <t>Asset Kind</t>
  </si>
  <si>
    <t>SOURCE IMAGE,DATASET,VECTOR,RASTER,TEXT,CODE,STYLE</t>
  </si>
  <si>
    <t>["I-T09-F06"]</t>
  </si>
  <si>
    <t>Semantic Requirements</t>
  </si>
  <si>
    <t>["I-T09-F07"]</t>
  </si>
  <si>
    <t>Technical Requirements</t>
  </si>
  <si>
    <t>["I-T09-F08"]</t>
  </si>
  <si>
    <t>Acquisition Instructions</t>
  </si>
  <si>
    <t>["I-T09-F09"]</t>
  </si>
  <si>
    <t>Reuse Conditions</t>
  </si>
  <si>
    <t>["I-T09-F10"]</t>
  </si>
  <si>
    <t>["I-T09-F11"]</t>
  </si>
  <si>
    <t>["I-T10-F01"]</t>
  </si>
  <si>
    <t>["I-T10-F02"]</t>
  </si>
  <si>
    <t>["I-T10-F03"]</t>
  </si>
  <si>
    <t>["I-T10-F04"]</t>
  </si>
  <si>
    <t>File Kind</t>
  </si>
  <si>
    <t>SOURCE,ASSET,FIGURE,DOCUMENT,RENDER,DATA,CODE,PACKAGE</t>
  </si>
  <si>
    <t>["I-T10-F05"]</t>
  </si>
  <si>
    <t>Local Path</t>
  </si>
  <si>
    <t>["I-T10-F06"]</t>
  </si>
  <si>
    <t>Online URL</t>
  </si>
  <si>
    <t>["I-T10-F07"]</t>
  </si>
  <si>
    <t>Media Type</t>
  </si>
  <si>
    <t>["I-T10-F08"]</t>
  </si>
  <si>
    <t>SHA-256</t>
  </si>
  <si>
    <t>["I-T10-F09"]</t>
  </si>
  <si>
    <t>Byte Size</t>
  </si>
  <si>
    <t>["I-T10-F10"]</t>
  </si>
  <si>
    <t>["I-T10-F11"]</t>
  </si>
  <si>
    <t>Reproduction Instructions</t>
  </si>
  <si>
    <t>["I-T10-F12"]</t>
  </si>
  <si>
    <t>Availability</t>
  </si>
  <si>
    <t>EXTERNAL,AVAILABLE,PLANNED,MISSING</t>
  </si>
  <si>
    <t>["I-T10-F13"]</t>
  </si>
  <si>
    <t>["I-T11-F01"]</t>
  </si>
  <si>
    <t>["I-T11-F02"]</t>
  </si>
  <si>
    <t>["I-T11-F03"]</t>
  </si>
  <si>
    <t>["I-T11-F04"]</t>
  </si>
  <si>
    <t>Figure Contract</t>
  </si>
  <si>
    <t>["I-T11-F05"]</t>
  </si>
  <si>
    <t>Display File</t>
  </si>
  <si>
    <t>["I-T11-F06"]</t>
  </si>
  <si>
    <t>Editable Files</t>
  </si>
  <si>
    <t>["I-T11-F07"]</t>
  </si>
  <si>
    <t>Used Fulfillments</t>
  </si>
  <si>
    <t>["I-T11-F08"]</t>
  </si>
  <si>
    <t>Caption</t>
  </si>
  <si>
    <t>["I-T11-F09"]</t>
  </si>
  <si>
    <t>Alternative Text</t>
  </si>
  <si>
    <t>["I-T11-F10"]</t>
  </si>
  <si>
    <t>Implementation Notes</t>
  </si>
  <si>
    <t>["I-T11-F11"]</t>
  </si>
  <si>
    <t>["I-T12-F01"]</t>
  </si>
  <si>
    <t>["I-T12-F02"]</t>
  </si>
  <si>
    <t>["I-T12-F03"]</t>
  </si>
  <si>
    <t>["I-T12-F04"]</t>
  </si>
  <si>
    <t>Document Revision</t>
  </si>
  <si>
    <t>Optional; see owning Table condition. Human approval is never required in SANDBOX.</t>
  </si>
  <si>
    <t>["I-T12-F05"]</t>
  </si>
  <si>
    <t>Position</t>
  </si>
  <si>
    <t>["I-T12-F06"]</t>
  </si>
  <si>
    <t>Placement Kind</t>
  </si>
  <si>
    <t>CONTENT,FIGURE</t>
  </si>
  <si>
    <t>["I-T12-F07"]</t>
  </si>
  <si>
    <t>Content Item</t>
  </si>
  <si>
    <t>["I-T12-F08"]</t>
  </si>
  <si>
    <t>Figure Output</t>
  </si>
  <si>
    <t>["I-T12-F09"]</t>
  </si>
  <si>
    <t>Section Anchor</t>
  </si>
  <si>
    <t>["I-T12-F10"]</t>
  </si>
  <si>
    <t>Layout Instructions</t>
  </si>
  <si>
    <t>["I-T12-F11"]</t>
  </si>
  <si>
    <t>Rendered Locator</t>
  </si>
  <si>
    <t>["I-T12-F12"]</t>
  </si>
  <si>
    <t>Document Plan</t>
  </si>
  <si>
    <t>["I-T12-F13"]</t>
  </si>
  <si>
    <t>Spine Type</t>
  </si>
  <si>
    <t>HEADER,CONTINUANCE,FIGURE</t>
  </si>
  <si>
    <t>["I-T12-F14"]</t>
  </si>
  <si>
    <t>Template Slot</t>
  </si>
  <si>
    <t>["I-T12-F15"]</t>
  </si>
  <si>
    <t>["I-T13-F01"]</t>
  </si>
  <si>
    <t>["I-T13-F02"]</t>
  </si>
  <si>
    <t>["I-T13-F03"]</t>
  </si>
  <si>
    <t>Upstream Revision</t>
  </si>
  <si>
    <t>["I-T13-F04"]</t>
  </si>
  <si>
    <t>Downstream Revision</t>
  </si>
  <si>
    <t>["I-T13-F05"]</t>
  </si>
  <si>
    <t>Relationship</t>
  </si>
  <si>
    <t>GOVERNED BY,DERIVED FROM,USES,COMPOSES</t>
  </si>
  <si>
    <t>["I-T13-F06"]</t>
  </si>
  <si>
    <t>Dependency Scope</t>
  </si>
  <si>
    <t>["I-T13-F07"]</t>
  </si>
  <si>
    <t>Recheck Rule</t>
  </si>
  <si>
    <t>["I-T13-F08"]</t>
  </si>
  <si>
    <t>Dependency Condition</t>
  </si>
  <si>
    <t>CURRENT,NEEDS REVIEW,STALE</t>
  </si>
  <si>
    <t>["I-T13-F09"]</t>
  </si>
  <si>
    <t>Trigger Revision</t>
  </si>
  <si>
    <t>["I-T13-F10"]</t>
  </si>
  <si>
    <t>Recheck</t>
  </si>
  <si>
    <t>["I-T13-F11"]</t>
  </si>
  <si>
    <t>["I-T14-F01"]</t>
  </si>
  <si>
    <t>["I-T14-F02"]</t>
  </si>
  <si>
    <t>["I-T14-F03"]</t>
  </si>
  <si>
    <t>Target Revision</t>
  </si>
  <si>
    <t>["I-T14-F04"]</t>
  </si>
  <si>
    <t>Check Instruction</t>
  </si>
  <si>
    <t>["I-T14-F05"]</t>
  </si>
  <si>
    <t>Executing Run</t>
  </si>
  <si>
    <t>["I-T14-F06"]</t>
  </si>
  <si>
    <t>Check Kind</t>
  </si>
  <si>
    <t>STRUCTURAL,SEMANTIC,VISUAL,LINK,OFFLINE,CLONE,CONFORMANCE</t>
  </si>
  <si>
    <t>["I-T14-F07"]</t>
  </si>
  <si>
    <t>Result</t>
  </si>
  <si>
    <t>NOT RUN,PASS,FAIL,BLOCKED,NOT APPLICABLE</t>
  </si>
  <si>
    <t>["I-T14-F08"]</t>
  </si>
  <si>
    <t>Expected Result</t>
  </si>
  <si>
    <t>["I-T14-F09"]</t>
  </si>
  <si>
    <t>Observed Result</t>
  </si>
  <si>
    <t>["I-T14-F10"]</t>
  </si>
  <si>
    <t>Evidence Files</t>
  </si>
  <si>
    <t>["I-T14-F11"]</t>
  </si>
  <si>
    <t>Evaluator</t>
  </si>
  <si>
    <t>["I-T14-F12"]</t>
  </si>
  <si>
    <t>Previous Check</t>
  </si>
  <si>
    <t>["I-T14-F13"]</t>
  </si>
  <si>
    <t>["I-T15-F01"]</t>
  </si>
  <si>
    <t>["I-T15-F02"]</t>
  </si>
  <si>
    <t>["I-T15-F03"]</t>
  </si>
  <si>
    <t>["I-T15-F04"]</t>
  </si>
  <si>
    <t>Origin Check</t>
  </si>
  <si>
    <t>["I-T15-F05"]</t>
  </si>
  <si>
    <t>Affected Revisions</t>
  </si>
  <si>
    <t>["I-T15-F06"]</t>
  </si>
  <si>
    <t>Owning Pass</t>
  </si>
  <si>
    <t>["I-T15-F07"]</t>
  </si>
  <si>
    <t>Issue Kind</t>
  </si>
  <si>
    <t>DEFECT,OPEN DECISION,CHANGE REQUEST</t>
  </si>
  <si>
    <t>["I-T15-F08"]</t>
  </si>
  <si>
    <t>Severity</t>
  </si>
  <si>
    <t>BLOCKING,NONBLOCKING</t>
  </si>
  <si>
    <t>["I-T15-F09"]</t>
  </si>
  <si>
    <t>Issue State</t>
  </si>
  <si>
    <t>OPEN,IN REPAIR,READY FOR RECHECK,RESOLVED,DEFERRED</t>
  </si>
  <si>
    <t>["I-T15-F10"]</t>
  </si>
  <si>
    <t>Repair Run</t>
  </si>
  <si>
    <t>["I-T15-F11"]</t>
  </si>
  <si>
    <t>Resolution</t>
  </si>
  <si>
    <t>["I-T15-F12"]</t>
  </si>
  <si>
    <t>Rechecks</t>
  </si>
  <si>
    <t>["I-T15-F13"]</t>
  </si>
  <si>
    <t>["I-T16-F01"]</t>
  </si>
  <si>
    <t>["I-T16-F02"]</t>
  </si>
  <si>
    <t>["I-T16-F03"]</t>
  </si>
  <si>
    <t>["I-T16-F04"]</t>
  </si>
  <si>
    <t>Review Run</t>
  </si>
  <si>
    <t>["I-T16-F05"]</t>
  </si>
  <si>
    <t>Decision</t>
  </si>
  <si>
    <t>APPROVE,REVISE,ROLLBACK</t>
  </si>
  <si>
    <t>["I-T16-F06"]</t>
  </si>
  <si>
    <t>Decision Maker</t>
  </si>
  <si>
    <t>["I-T16-F07"]</t>
  </si>
  <si>
    <t>Decision Evidence</t>
  </si>
  <si>
    <t>["I-T16-F08"]</t>
  </si>
  <si>
    <t>Reviewed Checks</t>
  </si>
  <si>
    <t>["I-T16-F09"]</t>
  </si>
  <si>
    <t>Related Issues</t>
  </si>
  <si>
    <t>["I-T16-F10"]</t>
  </si>
  <si>
    <t>Supersedes Decision</t>
  </si>
  <si>
    <t>["I-T16-F11"]</t>
  </si>
  <si>
    <t>["I-T16-F12"]</t>
  </si>
  <si>
    <t>["I-T17-F01"]</t>
  </si>
  <si>
    <t>["I-T17-F02"]</t>
  </si>
  <si>
    <t>["I-T17-F03"]</t>
  </si>
  <si>
    <t>["I-T17-F04"]</t>
  </si>
  <si>
    <t>Release Kind</t>
  </si>
  <si>
    <t>TEMPLATE,WORKED EXAMPLE,DOCUMENT</t>
  </si>
  <si>
    <t>["I-T17-F05"]</t>
  </si>
  <si>
    <t>Primary File</t>
  </si>
  <si>
    <t>["I-T17-F06"]</t>
  </si>
  <si>
    <t>Included Revisions</t>
  </si>
  <si>
    <t>["I-T17-F07"]</t>
  </si>
  <si>
    <t>Package File</t>
  </si>
  <si>
    <t>["I-T17-F08"]</t>
  </si>
  <si>
    <t>Release Checks</t>
  </si>
  <si>
    <t>["I-T17-F09"]</t>
  </si>
  <si>
    <t>Known Issues</t>
  </si>
  <si>
    <t>["I-T17-F10"]</t>
  </si>
  <si>
    <t>Release Notes</t>
  </si>
  <si>
    <t>["I-T17-F11"]</t>
  </si>
  <si>
    <t>Release Readiness</t>
  </si>
  <si>
    <t>Release primary file exists; exact included revisions exist; all listed required checks PASS or justified NOT APPLICABLE; no unresolved blocking project issue; no non-current dependency on included revisions. No automatic approval.</t>
  </si>
  <si>
    <t>["I-T17-F12"]</t>
  </si>
  <si>
    <t>Preserve formula.</t>
  </si>
  <si>
    <t>["I-T18-F01"]</t>
  </si>
  <si>
    <t>["I-T18-F02"]</t>
  </si>
  <si>
    <t>["I-T18-F03"]</t>
  </si>
  <si>
    <t>["I-T18-F04"]</t>
  </si>
  <si>
    <t>Machine Name</t>
  </si>
  <si>
    <t>["I-T18-F05"]</t>
  </si>
  <si>
    <t>Table Order</t>
  </si>
  <si>
    <t>["I-T18-F06"]</t>
  </si>
  <si>
    <t>Record Meaning</t>
  </si>
  <si>
    <t>["I-T18-F07"]</t>
  </si>
  <si>
    <t>Identity Rule</t>
  </si>
  <si>
    <t>["I-T18-F08"]</t>
  </si>
  <si>
    <t>Revision Rule</t>
  </si>
  <si>
    <t>["I-T18-F09"]</t>
  </si>
  <si>
    <t>Traversal Rules</t>
  </si>
  <si>
    <t>["I-T18-F10"]</t>
  </si>
  <si>
    <t>Clone Rule</t>
  </si>
  <si>
    <t>["I-T18-F11"]</t>
  </si>
  <si>
    <t>["I-T18-F12"]</t>
  </si>
  <si>
    <t>["I-T19-F01"]</t>
  </si>
  <si>
    <t>["I-T19-F02"]</t>
  </si>
  <si>
    <t>["I-T19-F03"]</t>
  </si>
  <si>
    <t>["I-T19-F04"]</t>
  </si>
  <si>
    <t>Field Number</t>
  </si>
  <si>
    <t>["I-T19-F05"]</t>
  </si>
  <si>
    <t>["I-T19-F06"]</t>
  </si>
  <si>
    <t>Field Type</t>
  </si>
  <si>
    <t>SHORT TEXT,LONG TEXT,INTEGER,URL,SINGLE SELECT,LINKED RECORD,LINKED RECORDS,DERIVED</t>
  </si>
  <si>
    <t>["I-T19-F07"]</t>
  </si>
  <si>
    <t>["I-T19-F08"]</t>
  </si>
  <si>
    <t>Allowed Values</t>
  </si>
  <si>
    <t>["I-T19-F09"]</t>
  </si>
  <si>
    <t>Linked Table</t>
  </si>
  <si>
    <t>["I-T19-F10"]</t>
  </si>
  <si>
    <t>Minimum Links</t>
  </si>
  <si>
    <t>["I-T19-F11"]</t>
  </si>
  <si>
    <t>Maximum Links</t>
  </si>
  <si>
    <t>["I-T19-F12"]</t>
  </si>
  <si>
    <t>Derivation</t>
  </si>
  <si>
    <t>["I-T19-F13"]</t>
  </si>
  <si>
    <t>Validation Rule</t>
  </si>
  <si>
    <t>["I-T19-F14"]</t>
  </si>
  <si>
    <t>["I-T19-F15"]</t>
  </si>
  <si>
    <t>["I-T19-F16"]</t>
  </si>
  <si>
    <t>["I-T20-F01"]</t>
  </si>
  <si>
    <t>["I-T20-F02"]</t>
  </si>
  <si>
    <t>["I-T20-F03"]</t>
  </si>
  <si>
    <t>Source</t>
  </si>
  <si>
    <t>f04_source</t>
  </si>
  <si>
    <t>["I-T20-F04"]</t>
  </si>
  <si>
    <t>f05_content_item</t>
  </si>
  <si>
    <t>["I-T20-F05"]</t>
  </si>
  <si>
    <t>Source Locator</t>
  </si>
  <si>
    <t>f06_source_locator</t>
  </si>
  <si>
    <t>["I-T20-F06"]</t>
  </si>
  <si>
    <t>Supported Statement</t>
  </si>
  <si>
    <t>f07_supported_statement</t>
  </si>
  <si>
    <t>["I-T20-F07"]</t>
  </si>
  <si>
    <t>Support Kind</t>
  </si>
  <si>
    <t>f08_support_kind</t>
  </si>
  <si>
    <t>DIRECT,DERIVED,CONTEXTUAL</t>
  </si>
  <si>
    <t>["I-T20-F08"]</t>
  </si>
  <si>
    <t>Qualification</t>
  </si>
  <si>
    <t>f09_qualification</t>
  </si>
  <si>
    <t>["I-T20-F09"]</t>
  </si>
  <si>
    <t>["I-T21-F01"]</t>
  </si>
  <si>
    <t>["I-T21-F02"]</t>
  </si>
  <si>
    <t>["I-T21-F03"]</t>
  </si>
  <si>
    <t>f04_figure_contract</t>
  </si>
  <si>
    <t>["I-T21-F04"]</t>
  </si>
  <si>
    <t>["I-T21-F05"]</t>
  </si>
  <si>
    <t>Explanatory Role</t>
  </si>
  <si>
    <t>f06_explanatory_role</t>
  </si>
  <si>
    <t>["I-T21-F06"]</t>
  </si>
  <si>
    <t>Coverage Criterion</t>
  </si>
  <si>
    <t>f07_coverage_criterion</t>
  </si>
  <si>
    <t>["I-T21-F07"]</t>
  </si>
  <si>
    <t>["I-T22-F01"]</t>
  </si>
  <si>
    <t>["I-T22-F02"]</t>
  </si>
  <si>
    <t>["I-T22-F03"]</t>
  </si>
  <si>
    <t>["I-T22-F04"]</t>
  </si>
  <si>
    <t>Asset Requirement</t>
  </si>
  <si>
    <t>f05_asset_requirement</t>
  </si>
  <si>
    <t>["I-T22-F05"]</t>
  </si>
  <si>
    <t>Usage Role</t>
  </si>
  <si>
    <t>f06_usage_role</t>
  </si>
  <si>
    <t>["I-T22-F06"]</t>
  </si>
  <si>
    <t>Minimum Quantity</t>
  </si>
  <si>
    <t>f07_minimum_quantity</t>
  </si>
  <si>
    <t>["I-T22-F07"]</t>
  </si>
  <si>
    <t>Maximum Quantity</t>
  </si>
  <si>
    <t>f08_maximum_quantity</t>
  </si>
  <si>
    <t>["I-T22-F08"]</t>
  </si>
  <si>
    <t>Application Instructions</t>
  </si>
  <si>
    <t>f09_application_instructions</t>
  </si>
  <si>
    <t>["I-T22-F09"]</t>
  </si>
  <si>
    <t>["I-T23-F01"]</t>
  </si>
  <si>
    <t>["I-T23-F02"]</t>
  </si>
  <si>
    <t>["I-T23-F03"]</t>
  </si>
  <si>
    <t>f04_asset_requirement</t>
  </si>
  <si>
    <t>["I-T23-F04"]</t>
  </si>
  <si>
    <t>File Revision</t>
  </si>
  <si>
    <t>f05_file_revision</t>
  </si>
  <si>
    <t>["I-T23-F05"]</t>
  </si>
  <si>
    <t>Selection State</t>
  </si>
  <si>
    <t>f06_selection_state</t>
  </si>
  <si>
    <t>CANDIDATE,SELECTED,REJECTED,SUPERSEDED</t>
  </si>
  <si>
    <t>["I-T23-F06"]</t>
  </si>
  <si>
    <t>Fulfillment Checks</t>
  </si>
  <si>
    <t>f07_fulfillment_checks</t>
  </si>
  <si>
    <t>["I-T23-F07"]</t>
  </si>
  <si>
    <t>Selection Rationale</t>
  </si>
  <si>
    <t>f08_selection_rationale</t>
  </si>
  <si>
    <t>["I-T23-F08"]</t>
  </si>
  <si>
    <t>Use Instructions</t>
  </si>
  <si>
    <t>f09_use_instructions</t>
  </si>
  <si>
    <t>["I-T23-F09"]</t>
  </si>
  <si>
    <t>["I-T24-F01"]</t>
  </si>
  <si>
    <t>["I-T24-F02"]</t>
  </si>
  <si>
    <t>["I-T24-F03"]</t>
  </si>
  <si>
    <t>Pass Run</t>
  </si>
  <si>
    <t>f04_pass_run</t>
  </si>
  <si>
    <t>["I-T24-F04"]</t>
  </si>
  <si>
    <t>Artifact Revision</t>
  </si>
  <si>
    <t>f05_artifact_revision</t>
  </si>
  <si>
    <t>["I-T24-F05"]</t>
  </si>
  <si>
    <t>Direction</t>
  </si>
  <si>
    <t>f06_direction</t>
  </si>
  <si>
    <t>INPUT,OUTPUT</t>
  </si>
  <si>
    <t>["I-T24-F06"]</t>
  </si>
  <si>
    <t>Slot</t>
  </si>
  <si>
    <t>f07_slot</t>
  </si>
  <si>
    <t>["I-T24-F07"]</t>
  </si>
  <si>
    <t>Slot Order</t>
  </si>
  <si>
    <t>f08_slot_order</t>
  </si>
  <si>
    <t>["I-T24-F08"]</t>
  </si>
  <si>
    <t>Input Approval</t>
  </si>
  <si>
    <t>f09_input_approval</t>
  </si>
  <si>
    <t>["I-T24-F09"]</t>
  </si>
  <si>
    <t>Handoff Notes</t>
  </si>
  <si>
    <t>f10_handoff_notes</t>
  </si>
  <si>
    <t>["I-T24-F10"]</t>
  </si>
  <si>
    <t>["I-T25-F01"]</t>
  </si>
  <si>
    <t>["I-T25-F02"]</t>
  </si>
  <si>
    <t>["I-T25-F03"]</t>
  </si>
  <si>
    <t>["I-T25-F04"]</t>
  </si>
  <si>
    <t>f05_project</t>
  </si>
  <si>
    <t>["I-T25-F05"]</t>
  </si>
  <si>
    <t>f06_template</t>
  </si>
  <si>
    <t>["I-T25-F06"]</t>
  </si>
  <si>
    <t>f07_ruleset</t>
  </si>
  <si>
    <t>["I-T25-F07"]</t>
  </si>
  <si>
    <t>f08_theme</t>
  </si>
  <si>
    <t>["I-T25-F08"]</t>
  </si>
  <si>
    <t>Spine Instructions</t>
  </si>
  <si>
    <t>f09_spine_instructions</t>
  </si>
  <si>
    <t>["I-T25-F09"]</t>
  </si>
  <si>
    <t>Candidate File</t>
  </si>
  <si>
    <t>f10_candidate_file</t>
  </si>
  <si>
    <t>["I-T25-F10"]</t>
  </si>
  <si>
    <t>["I-T26-F01"]</t>
  </si>
  <si>
    <t>["I-T26-F02"]</t>
  </si>
  <si>
    <t>["I-T26-F03"]</t>
  </si>
  <si>
    <t>["I-T26-F04"]</t>
  </si>
  <si>
    <t>Output Kind</t>
  </si>
  <si>
    <t>f05_output_kind</t>
  </si>
  <si>
    <t>DOCX,PDF,HTML</t>
  </si>
  <si>
    <t>["I-T26-F05"]</t>
  </si>
  <si>
    <t>Assembly Instructions</t>
  </si>
  <si>
    <t>f06_assembly_instructions</t>
  </si>
  <si>
    <t>["I-T26-F06"]</t>
  </si>
  <si>
    <t>Default Ruleset</t>
  </si>
  <si>
    <t>f07_default_ruleset</t>
  </si>
  <si>
    <t>["I-T26-F07"]</t>
  </si>
  <si>
    <t>Default Theme</t>
  </si>
  <si>
    <t>f08_default_theme</t>
  </si>
  <si>
    <t>["I-T26-F08"]</t>
  </si>
  <si>
    <t>Fit Policy</t>
  </si>
  <si>
    <t>f09_fit_policy</t>
  </si>
  <si>
    <t>["I-T26-F09"]</t>
  </si>
  <si>
    <t>Renderer Contract</t>
  </si>
  <si>
    <t>f10_renderer_contract</t>
  </si>
  <si>
    <t>["I-T26-F10"]</t>
  </si>
  <si>
    <t>["I-T27-F01"]</t>
  </si>
  <si>
    <t>["I-T27-F02"]</t>
  </si>
  <si>
    <t>["I-T27-F03"]</t>
  </si>
  <si>
    <t>["I-T27-F04"]</t>
  </si>
  <si>
    <t>f05_template</t>
  </si>
  <si>
    <t>["I-T27-F05"]</t>
  </si>
  <si>
    <t>Slot Role</t>
  </si>
  <si>
    <t>f06_slot_role</t>
  </si>
  <si>
    <t>["I-T27-F06"]</t>
  </si>
  <si>
    <t>f07_spine_type</t>
  </si>
  <si>
    <t>["I-T27-F07"]</t>
  </si>
  <si>
    <t>Region</t>
  </si>
  <si>
    <t>f08_region</t>
  </si>
  <si>
    <t>["I-T27-F08"]</t>
  </si>
  <si>
    <t>Presence</t>
  </si>
  <si>
    <t>f09_presence</t>
  </si>
  <si>
    <t>REQUIRED,OPTIONAL,REPEATABLE</t>
  </si>
  <si>
    <t>["I-T27-F09"]</t>
  </si>
  <si>
    <t>Geometry</t>
  </si>
  <si>
    <t>f10_geometry</t>
  </si>
  <si>
    <t>["I-T27-F10"]</t>
  </si>
  <si>
    <t>Style Instructions</t>
  </si>
  <si>
    <t>f11_style_instructions</t>
  </si>
  <si>
    <t>["I-T27-F11"]</t>
  </si>
  <si>
    <t>Overflow Rule</t>
  </si>
  <si>
    <t>f12_overflow_rule</t>
  </si>
  <si>
    <t>["I-T27-F12"]</t>
  </si>
  <si>
    <t>Allowed File Types</t>
  </si>
  <si>
    <t>f13_allowed_file_types</t>
  </si>
  <si>
    <t>["I-T27-F13"]</t>
  </si>
  <si>
    <t>["I-T28-F01"]</t>
  </si>
  <si>
    <t>["I-T28-F02"]</t>
  </si>
  <si>
    <t>["I-T28-F03"]</t>
  </si>
  <si>
    <t>["I-T28-F04"]</t>
  </si>
  <si>
    <t>f05_rules</t>
  </si>
  <si>
    <t>["I-T28-F05"]</t>
  </si>
  <si>
    <t>Conflict Policy</t>
  </si>
  <si>
    <t>f06_conflict_policy</t>
  </si>
  <si>
    <t>["I-T28-F06"]</t>
  </si>
  <si>
    <t>f07_application_instructions</t>
  </si>
  <si>
    <t>["I-T28-F07"]</t>
  </si>
  <si>
    <t>["I-T29-F01"]</t>
  </si>
  <si>
    <t>["I-T29-F02"]</t>
  </si>
  <si>
    <t>["I-T29-F03"]</t>
  </si>
  <si>
    <t>["I-T29-F04"]</t>
  </si>
  <si>
    <t>Rule Kind</t>
  </si>
  <si>
    <t>f05_rule_kind</t>
  </si>
  <si>
    <t>RETRIEVAL,CONTENT,LAYOUT,GENERATION</t>
  </si>
  <si>
    <t>["I-T29-F05"]</t>
  </si>
  <si>
    <t>Condition</t>
  </si>
  <si>
    <t>f06_condition</t>
  </si>
  <si>
    <t>["I-T29-F06"]</t>
  </si>
  <si>
    <t>Requirement</t>
  </si>
  <si>
    <t>f07_requirement</t>
  </si>
  <si>
    <t>["I-T29-F07"]</t>
  </si>
  <si>
    <t>Exclusions</t>
  </si>
  <si>
    <t>f08_exclusions</t>
  </si>
  <si>
    <t>["I-T29-F08"]</t>
  </si>
  <si>
    <t>Priority</t>
  </si>
  <si>
    <t>f09_priority</t>
  </si>
  <si>
    <t>["I-T29-F09"]</t>
  </si>
  <si>
    <t>Repair Instruction</t>
  </si>
  <si>
    <t>f10_repair_instruction</t>
  </si>
  <si>
    <t>["I-T29-F10"]</t>
  </si>
  <si>
    <t>f11_check_instruction</t>
  </si>
  <si>
    <t>["I-T29-F11"]</t>
  </si>
  <si>
    <t>["I-T30-F01"]</t>
  </si>
  <si>
    <t>["I-T30-F02"]</t>
  </si>
  <si>
    <t>["I-T30-F03"]</t>
  </si>
  <si>
    <t>["I-T30-F04"]</t>
  </si>
  <si>
    <t>Include</t>
  </si>
  <si>
    <t>f05_include</t>
  </si>
  <si>
    <t>["I-T30-F05"]</t>
  </si>
  <si>
    <t>Exclude</t>
  </si>
  <si>
    <t>f06_exclude</t>
  </si>
  <si>
    <t>["I-T30-F06"]</t>
  </si>
  <si>
    <t>Apply to Generation</t>
  </si>
  <si>
    <t>f07_apply_to_generation</t>
  </si>
  <si>
    <t>YES,NO</t>
  </si>
  <si>
    <t>["I-T30-F07"]</t>
  </si>
  <si>
    <t>Added Details</t>
  </si>
  <si>
    <t>f08_added_details</t>
  </si>
  <si>
    <t>["I-T30-F08"]</t>
  </si>
  <si>
    <t>Visual Vocabulary</t>
  </si>
  <si>
    <t>f09_visual_vocabulary</t>
  </si>
  <si>
    <t>["I-T30-F09"]</t>
  </si>
  <si>
    <t>f10_conflict_policy</t>
  </si>
  <si>
    <t>["I-T30-F10"]</t>
  </si>
  <si>
    <t>["I-T31-F01"]</t>
  </si>
  <si>
    <t>["I-T31-F02"]</t>
  </si>
  <si>
    <t>["I-T31-F03"]</t>
  </si>
  <si>
    <t>["I-T31-F04"]</t>
  </si>
  <si>
    <t>Assembly File</t>
  </si>
  <si>
    <t>f05_assembly_file</t>
  </si>
  <si>
    <t>["I-T31-F05"]</t>
  </si>
  <si>
    <t>Component File</t>
  </si>
  <si>
    <t>f06_component_file</t>
  </si>
  <si>
    <t>["I-T31-F06"]</t>
  </si>
  <si>
    <t>f07_usage_role</t>
  </si>
  <si>
    <t>["I-T31-F07"]</t>
  </si>
  <si>
    <t>Layer Order</t>
  </si>
  <si>
    <t>f08_layer_order</t>
  </si>
  <si>
    <t>["I-T31-F08"]</t>
  </si>
  <si>
    <t>Transform JSON</t>
  </si>
  <si>
    <t>f09_transform_json</t>
  </si>
  <si>
    <t>["I-T31-F09"]</t>
  </si>
  <si>
    <t>Coordinate Convention</t>
  </si>
  <si>
    <t>f10_coordinate_convention</t>
  </si>
  <si>
    <t>["I-T31-F10"]</t>
  </si>
  <si>
    <t>Blend Rule</t>
  </si>
  <si>
    <t>f11_blend_rule</t>
  </si>
  <si>
    <t>["I-T31-F11"]</t>
  </si>
  <si>
    <t>Identity Treatment</t>
  </si>
  <si>
    <t>f12_identity_treatment</t>
  </si>
  <si>
    <t>PLACEMENT,NEW DERIVATIVE</t>
  </si>
  <si>
    <t>["I-T31-F12"]</t>
  </si>
  <si>
    <t>Build Instructions</t>
  </si>
  <si>
    <t>f13_build_instructions</t>
  </si>
  <si>
    <t>["I-T31-F13"]</t>
  </si>
  <si>
    <t>Component State</t>
  </si>
  <si>
    <t>f14_component_state</t>
  </si>
  <si>
    <t>PLANNED,AVAILABLE,BLOCKED</t>
  </si>
  <si>
    <t>["I-T31-F14"]</t>
  </si>
  <si>
    <t>Readiness</t>
  </si>
  <si>
    <t>f15_readiness</t>
  </si>
  <si>
    <t>["I-T31-F15"]</t>
  </si>
  <si>
    <t>["I-T32-F01"]</t>
  </si>
  <si>
    <t>["I-T32-F02"]</t>
  </si>
  <si>
    <t>["I-T32-F03"]</t>
  </si>
  <si>
    <t>["I-T32-F04"]</t>
  </si>
  <si>
    <t>["I-T32-F05"]</t>
  </si>
  <si>
    <t>f06_asset_requirement</t>
  </si>
  <si>
    <t>["I-T32-F06"]</t>
  </si>
  <si>
    <t>["I-T32-F07"]</t>
  </si>
  <si>
    <t>["I-T32-F08"]</t>
  </si>
  <si>
    <t>Local Requirement</t>
  </si>
  <si>
    <t>f09_local_requirement</t>
  </si>
  <si>
    <t>["I-T32-F09"]</t>
  </si>
  <si>
    <t>Compiled Readback</t>
  </si>
  <si>
    <t>f10_compiled_readback</t>
  </si>
  <si>
    <t>["I-T32-F10"]</t>
  </si>
  <si>
    <t>Readback Sources</t>
  </si>
  <si>
    <t>f11_readback_sources</t>
  </si>
  <si>
    <t>["I-T32-F11"]</t>
  </si>
  <si>
    <t>Execution State</t>
  </si>
  <si>
    <t>f12_execution_state</t>
  </si>
  <si>
    <t>PLANNED,READY,COMPLETE,BLOCKED</t>
  </si>
  <si>
    <t>["I-T32-F12"]</t>
  </si>
  <si>
    <t>Result Files</t>
  </si>
  <si>
    <t>f13_result_files</t>
  </si>
  <si>
    <t>["I-T32-F13"]</t>
  </si>
  <si>
    <t>Repair Notes</t>
  </si>
  <si>
    <t>f14_repair_notes</t>
  </si>
  <si>
    <t>["I-T32-F14"]</t>
  </si>
  <si>
    <t>["I-T33-F01"]</t>
  </si>
  <si>
    <t>["I-T33-F02"]</t>
  </si>
  <si>
    <t>["I-T33-F03"]</t>
  </si>
  <si>
    <t>["I-T33-F04"]</t>
  </si>
  <si>
    <t>["I-T33-F05"]</t>
  </si>
  <si>
    <t>Disposition</t>
  </si>
  <si>
    <t>f06_disposition</t>
  </si>
  <si>
    <t>PROJECT ONLY,REUSABLE CANDIDATE,PROMOTED,ARCHIVED</t>
  </si>
  <si>
    <t>["I-T33-F06"]</t>
  </si>
  <si>
    <t>Reason</t>
  </si>
  <si>
    <t>f07_reason</t>
  </si>
  <si>
    <t>["I-T33-F07"]</t>
  </si>
  <si>
    <t>Destination</t>
  </si>
  <si>
    <t>f08_destination</t>
  </si>
  <si>
    <t>["I-T33-F08"]</t>
  </si>
  <si>
    <t>Persistent Identity</t>
  </si>
  <si>
    <t>f09_persistent_identity</t>
  </si>
  <si>
    <t>["I-T33-F09"]</t>
  </si>
  <si>
    <t>Previous Event</t>
  </si>
  <si>
    <t>f10_previous_event</t>
  </si>
  <si>
    <t>["I-T33-F10"]</t>
  </si>
  <si>
    <t>📚🔗 Source Support</t>
  </si>
  <si>
    <t>4 — Source</t>
  </si>
  <si>
    <t>5 — Content Item</t>
  </si>
  <si>
    <t>6 — Source Locator</t>
  </si>
  <si>
    <t>7 — Supported Statement</t>
  </si>
  <si>
    <t>8 — Support Kind</t>
  </si>
  <si>
    <t>9 — Qualification</t>
  </si>
  <si>
    <t>SUP-F01</t>
  </si>
  <si>
    <t>figures[id=F01].caption</t>
  </si>
  <si>
    <t>Supports this reconstructed caption-level content record.</t>
  </si>
  <si>
    <t>SUP-F02</t>
  </si>
  <si>
    <t>figures[id=F02].caption</t>
  </si>
  <si>
    <t>SUP-F03</t>
  </si>
  <si>
    <t>figures[id=F03].caption</t>
  </si>
  <si>
    <t>SUP-F04</t>
  </si>
  <si>
    <t>figures[id=F04].caption</t>
  </si>
  <si>
    <t>SUP-F05</t>
  </si>
  <si>
    <t>figures[id=F05].caption</t>
  </si>
  <si>
    <t>SUP-F06</t>
  </si>
  <si>
    <t>figures[id=F06].caption</t>
  </si>
  <si>
    <t>SUP-F07</t>
  </si>
  <si>
    <t>figures[id=F07].caption</t>
  </si>
  <si>
    <t>SUP-F08</t>
  </si>
  <si>
    <t>figures[id=F08].caption</t>
  </si>
  <si>
    <t>OG-SUP-01</t>
  </si>
  <si>
    <t>Section 1 of planning digest</t>
  </si>
  <si>
    <t>Supports the approved content obligation, not completion or external truth.</t>
  </si>
  <si>
    <t>OG-SUP-02</t>
  </si>
  <si>
    <t>Section 2 of planning digest</t>
  </si>
  <si>
    <t>OG-SUP-03</t>
  </si>
  <si>
    <t>Section 3 of planning digest</t>
  </si>
  <si>
    <t>OG-SUP-04</t>
  </si>
  <si>
    <t>Section 4 of planning digest</t>
  </si>
  <si>
    <t>OG-SUP-05</t>
  </si>
  <si>
    <t>Section 5 of planning digest</t>
  </si>
  <si>
    <t>OG-SUP-06</t>
  </si>
  <si>
    <t>Section 6 of planning digest</t>
  </si>
  <si>
    <t>OG-SUP-07</t>
  </si>
  <si>
    <t>Section 7 of planning digest</t>
  </si>
  <si>
    <t>OG-SUP-08</t>
  </si>
  <si>
    <t>Section 8 of planning digest</t>
  </si>
  <si>
    <t>OG-SUP-09</t>
  </si>
  <si>
    <t>Section 9 of planning digest</t>
  </si>
  <si>
    <t>OG-SUP-10</t>
  </si>
  <si>
    <t>Section 10 of planning digest</t>
  </si>
  <si>
    <t>OG-SUP-11</t>
  </si>
  <si>
    <t>Section 11 of planning digest</t>
  </si>
  <si>
    <t>OG-SUP-12</t>
  </si>
  <si>
    <t>Section 12 of planning digest</t>
  </si>
  <si>
    <t>Purpose and scope basis</t>
  </si>
  <si>
    <t>Operational synthesis.</t>
  </si>
  <si>
    <t>OG-P7-SUPPORT-01</t>
  </si>
  <si>
    <t>Table and Field Dictionaries; Pass Definitions; OG-PLAN. Current details also from Pass 6 manifest and handoff.</t>
  </si>
  <si>
    <t>Operational definitions and records used in this section.</t>
  </si>
  <si>
    <t>Wave A baseline source supplemented by exact Pass 6 handoff dependencies; future evaluations are proposals.</t>
  </si>
  <si>
    <t>Paper and workbook relationship basis</t>
  </si>
  <si>
    <t>OG-P7-SUPPORT-02</t>
  </si>
  <si>
    <t>Terminology and identity basis</t>
  </si>
  <si>
    <t>OG-P7-SUPPORT-03</t>
  </si>
  <si>
    <t>The eight Passes basis</t>
  </si>
  <si>
    <t>OG-P7-SUPPORT-04</t>
  </si>
  <si>
    <t>Core transformation chains basis</t>
  </si>
  <si>
    <t>OG-P7-SUPPORT-05</t>
  </si>
  <si>
    <t>Document Spine and presentation basis</t>
  </si>
  <si>
    <t>OG-P7-SUPPORT-06</t>
  </si>
  <si>
    <t>Assets and generation basis</t>
  </si>
  <si>
    <t>OG-P7-SUPPORT-07</t>
  </si>
  <si>
    <t>Verification and PATCH basis</t>
  </si>
  <si>
    <t>OG-P7-SUPPORT-08</t>
  </si>
  <si>
    <t>Reuse and cumulative improvement basis</t>
  </si>
  <si>
    <t>OG-P7-SUPPORT-09</t>
  </si>
  <si>
    <t>Worked example and self application basis</t>
  </si>
  <si>
    <t>OG-P7-SUPPORT-10</t>
  </si>
  <si>
    <t>Sites handoff basis</t>
  </si>
  <si>
    <t>OG-P7-SUPPORT-11</t>
  </si>
  <si>
    <t>Trial and revision programme basis</t>
  </si>
  <si>
    <t>OG-P7-SUPPORT-12</t>
  </si>
  <si>
    <t>🖼️🔗 Figure Coverage</t>
  </si>
  <si>
    <t>4 — Figure Contract</t>
  </si>
  <si>
    <t>6 — Explanatory Role</t>
  </si>
  <si>
    <t>7 — Coverage Criterion</t>
  </si>
  <si>
    <t>COVER-F01</t>
  </si>
  <si>
    <t>Explain registered relationship</t>
  </si>
  <si>
    <t>COVER-F02</t>
  </si>
  <si>
    <t>COVER-F03</t>
  </si>
  <si>
    <t>COVER-F04</t>
  </si>
  <si>
    <t>COVER-F05</t>
  </si>
  <si>
    <t>COVER-F06</t>
  </si>
  <si>
    <t>COVER-F07</t>
  </si>
  <si>
    <t>COVER-F08</t>
  </si>
  <si>
    <t>OG-F01-COVER</t>
  </si>
  <si>
    <t>OG-F02-COVER</t>
  </si>
  <si>
    <t>OG-F03-COVER</t>
  </si>
  <si>
    <t>OG-F04-COVER</t>
  </si>
  <si>
    <t>OG-F05-COVER</t>
  </si>
  <si>
    <t>OG-F06-COVER</t>
  </si>
  <si>
    <t>OG-F07-COVER</t>
  </si>
  <si>
    <t>🧰🔗 Figure Requirements</t>
  </si>
  <si>
    <t>5 — Asset Requirement</t>
  </si>
  <si>
    <t>6 — Usage Role</t>
  </si>
  <si>
    <t>7 — Minimum Quantity</t>
  </si>
  <si>
    <t>8 — Maximum Quantity</t>
  </si>
  <si>
    <t>9 — Application Instructions</t>
  </si>
  <si>
    <t>REQ-F01-SVG</t>
  </si>
  <si>
    <t>Editable source</t>
  </si>
  <si>
    <t>Keep this role stable if the selected file is replaced.</t>
  </si>
  <si>
    <t>REQ-F01-PNG</t>
  </si>
  <si>
    <t>Display file</t>
  </si>
  <si>
    <t>REQ-F02-SVG</t>
  </si>
  <si>
    <t>REQ-F02-PNG</t>
  </si>
  <si>
    <t>REQ-F03-SVG</t>
  </si>
  <si>
    <t>REQ-F03-PNG</t>
  </si>
  <si>
    <t>REQ-F04-SVG</t>
  </si>
  <si>
    <t>REQ-F04-PNG</t>
  </si>
  <si>
    <t>REQ-F05-SVG</t>
  </si>
  <si>
    <t>REQ-F05-PNG</t>
  </si>
  <si>
    <t>REQ-F06-SVG</t>
  </si>
  <si>
    <t>REQ-F06-PNG</t>
  </si>
  <si>
    <t>REQ-F07-SVG</t>
  </si>
  <si>
    <t>REQ-F07-PNG</t>
  </si>
  <si>
    <t>REQ-F08-SVG</t>
  </si>
  <si>
    <t>REQ-F08-PNG</t>
  </si>
  <si>
    <t>OG-F01-REQ-OG-A03</t>
  </si>
  <si>
    <t>Required ingredient</t>
  </si>
  <si>
    <t>Resolve selected exact fulfillment before use. Keep this requirement stable across replacement files.</t>
  </si>
  <si>
    <t>OG-F01-REQ-OG-A04</t>
  </si>
  <si>
    <t>OG-F01-REQ-OG-A05</t>
  </si>
  <si>
    <t>OG-F01-REQ-OG-A06</t>
  </si>
  <si>
    <t>OG-F01-REQ-OG-F01-EXAMPLE</t>
  </si>
  <si>
    <t>OG-F02-REQ-OG-A01</t>
  </si>
  <si>
    <t>OG-F02-REQ-OG-A03</t>
  </si>
  <si>
    <t>OG-F02-REQ-OG-A04</t>
  </si>
  <si>
    <t>OG-F02-REQ-OG-A05</t>
  </si>
  <si>
    <t>OG-F02-REQ-OG-A06</t>
  </si>
  <si>
    <t>OG-F02-REQ-OG-F02-EXAMPLE</t>
  </si>
  <si>
    <t>OG-F03-REQ-OG-A01</t>
  </si>
  <si>
    <t>OG-F03-REQ-OG-A02</t>
  </si>
  <si>
    <t>OG-F03-REQ-OG-A03</t>
  </si>
  <si>
    <t>OG-F03-REQ-OG-A04</t>
  </si>
  <si>
    <t>OG-F03-REQ-OG-A05</t>
  </si>
  <si>
    <t>OG-F03-REQ-OG-A06</t>
  </si>
  <si>
    <t>OG-F03-REQ-OG-F03-EXAMPLE</t>
  </si>
  <si>
    <t>OG-F04-REQ-OG-A01</t>
  </si>
  <si>
    <t>OG-F04-REQ-OG-A03</t>
  </si>
  <si>
    <t>OG-F04-REQ-OG-A04</t>
  </si>
  <si>
    <t>OG-F04-REQ-OG-A05</t>
  </si>
  <si>
    <t>OG-F04-REQ-OG-A06</t>
  </si>
  <si>
    <t>OG-F04-REQ-OG-F04-EXAMPLE</t>
  </si>
  <si>
    <t>OG-F05-REQ-OG-A01</t>
  </si>
  <si>
    <t>OG-F05-REQ-OG-A02</t>
  </si>
  <si>
    <t>OG-F05-REQ-OG-A03</t>
  </si>
  <si>
    <t>OG-F05-REQ-OG-A04</t>
  </si>
  <si>
    <t>OG-F05-REQ-OG-A05</t>
  </si>
  <si>
    <t>OG-F05-REQ-OG-A06</t>
  </si>
  <si>
    <t>OG-F05-REQ-OG-F05-EXAMPLE</t>
  </si>
  <si>
    <t>OG-F06-REQ-OG-A01</t>
  </si>
  <si>
    <t>OG-F06-REQ-OG-A03</t>
  </si>
  <si>
    <t>OG-F06-REQ-OG-A04</t>
  </si>
  <si>
    <t>OG-F06-REQ-OG-A05</t>
  </si>
  <si>
    <t>OG-F06-REQ-OG-A06</t>
  </si>
  <si>
    <t>OG-F06-REQ-OG-F06-EXAMPLE</t>
  </si>
  <si>
    <t>OG-F07-REQ-OG-A01</t>
  </si>
  <si>
    <t>OG-F07-REQ-OG-A03</t>
  </si>
  <si>
    <t>OG-F07-REQ-OG-A04</t>
  </si>
  <si>
    <t>OG-F07-REQ-OG-A05</t>
  </si>
  <si>
    <t>OG-F07-REQ-OG-A06</t>
  </si>
  <si>
    <t>OG-F07-REQ-OG-F07-EXAMPLE</t>
  </si>
  <si>
    <t>📎🔗 Requirement Fulfillment</t>
  </si>
  <si>
    <t>4 — Asset Requirement</t>
  </si>
  <si>
    <t>5 — File Revision</t>
  </si>
  <si>
    <t>6 — Selection State</t>
  </si>
  <si>
    <t>7 — Fulfillment Checks</t>
  </si>
  <si>
    <t>8 — Selection Rationale</t>
  </si>
  <si>
    <t>9 — Use Instructions</t>
  </si>
  <si>
    <t>FUL-F01-SVG</t>
  </si>
  <si>
    <t>SELECTED</t>
  </si>
  <si>
    <t>["CHK-F01-SVG"]</t>
  </si>
  <si>
    <t>Preserved approved production file.</t>
  </si>
  <si>
    <t>Resolve relative path from original package root.</t>
  </si>
  <si>
    <t>FUL-F01-PNG</t>
  </si>
  <si>
    <t>["CHK-F01-PNG"]</t>
  </si>
  <si>
    <t>FUL-F02-SVG</t>
  </si>
  <si>
    <t>["CHK-F02-SVG"]</t>
  </si>
  <si>
    <t>FUL-F02-PNG</t>
  </si>
  <si>
    <t>["CHK-F02-PNG"]</t>
  </si>
  <si>
    <t>FUL-F03-SVG</t>
  </si>
  <si>
    <t>["CHK-F03-SVG"]</t>
  </si>
  <si>
    <t>FUL-F03-PNG</t>
  </si>
  <si>
    <t>["CHK-F03-PNG"]</t>
  </si>
  <si>
    <t>FUL-F04-SVG</t>
  </si>
  <si>
    <t>["CHK-F04-SVG"]</t>
  </si>
  <si>
    <t>FUL-F04-PNG</t>
  </si>
  <si>
    <t>["CHK-F04-PNG"]</t>
  </si>
  <si>
    <t>FUL-F05-SVG</t>
  </si>
  <si>
    <t>["CHK-F05-SVG"]</t>
  </si>
  <si>
    <t>FUL-F05-PNG</t>
  </si>
  <si>
    <t>["CHK-F05-PNG"]</t>
  </si>
  <si>
    <t>FUL-F06-SVG</t>
  </si>
  <si>
    <t>["CHK-F06-SVG"]</t>
  </si>
  <si>
    <t>FUL-F06-PNG</t>
  </si>
  <si>
    <t>["CHK-F06-PNG"]</t>
  </si>
  <si>
    <t>FUL-F07-SVG</t>
  </si>
  <si>
    <t>["CHK-F07-SVG"]</t>
  </si>
  <si>
    <t>FUL-F07-PNG</t>
  </si>
  <si>
    <t>["CHK-F07-PNG"]</t>
  </si>
  <si>
    <t>FUL-F08-SVG</t>
  </si>
  <si>
    <t>["CHK-F08-SVG"]</t>
  </si>
  <si>
    <t>FUL-F08-PNG</t>
  </si>
  <si>
    <t>["CHK-F08-PNG"]</t>
  </si>
  <si>
    <t>OG-A01-FULFILL</t>
  </si>
  <si>
    <t>["OG-A01-CHECK"]</t>
  </si>
  <si>
    <t>Wave A extracted reference; exact bytes registered.</t>
  </si>
  <si>
    <t>Restore external reference from Wave A package; validate against baseline.</t>
  </si>
  <si>
    <t>OG-A02-FULFILL</t>
  </si>
  <si>
    <t>["OG-A02-CHECK"]</t>
  </si>
  <si>
    <t>OG-A05-FULFILL</t>
  </si>
  <si>
    <t>["OG-A05-CHECK"]</t>
  </si>
  <si>
    <t>OG-A03 selected output</t>
  </si>
  <si>
    <t>Wave B fulfillment.</t>
  </si>
  <si>
    <t>OG-A03-FULFILL</t>
  </si>
  <si>
    <t>["OG-B-NOTATION-CHECK"]</t>
  </si>
  <si>
    <t>Built and checked against the approved requirement.</t>
  </si>
  <si>
    <t>Retain semantic notation and exact text; render and inspect derivatives.</t>
  </si>
  <si>
    <t>OG-A04 selected output</t>
  </si>
  <si>
    <t>OG-A04-FULFILL</t>
  </si>
  <si>
    <t>["OG-B-COMPONENTS-CHECK"]</t>
  </si>
  <si>
    <t>OG-A06 selected output</t>
  </si>
  <si>
    <t>OG-A06-FULFILL</t>
  </si>
  <si>
    <t>["OG-B-TEXT-CHECK"]</t>
  </si>
  <si>
    <t>OG-F01 bounded example</t>
  </si>
  <si>
    <t>Wave C specific example fulfillment.</t>
  </si>
  <si>
    <t>OG-F01-EXAMPLE-FULFILL</t>
  </si>
  <si>
    <t>["OG-F01-EVIDENCE-CHECK"]</t>
  </si>
  <si>
    <t>Source evidence verified against the project and registered schema.</t>
  </si>
  <si>
    <t>Keep implementation qualifications and exact identities.</t>
  </si>
  <si>
    <t>OG-F03 bounded example</t>
  </si>
  <si>
    <t>OG-F03-EXAMPLE-FULFILL</t>
  </si>
  <si>
    <t>["OG-F03-EVIDENCE-CHECK"]</t>
  </si>
  <si>
    <t>OG-F02 bounded example</t>
  </si>
  <si>
    <t>Wave D specific example fulfillment.</t>
  </si>
  <si>
    <t>OG-F02-EXAMPLE-FULFILL</t>
  </si>
  <si>
    <t>["OG-F02-EVIDENCE-CHECK"]</t>
  </si>
  <si>
    <t>OG-F04 bounded example</t>
  </si>
  <si>
    <t>Wave E specific example fulfillment.</t>
  </si>
  <si>
    <t>OG-F04-EXAMPLE-FULFILL</t>
  </si>
  <si>
    <t>["OG-F04-EVIDENCE-CHECK"]</t>
  </si>
  <si>
    <t>OG-F05 bounded example</t>
  </si>
  <si>
    <t>Wave F specific example fulfillment.</t>
  </si>
  <si>
    <t>OG-F05-EXAMPLE-FULFILL</t>
  </si>
  <si>
    <t>["OG-F05-EVIDENCE-CHECK"]</t>
  </si>
  <si>
    <t>OG-F06 bounded example</t>
  </si>
  <si>
    <t>Wave G specific example fulfillment.</t>
  </si>
  <si>
    <t>OG-F06-EXAMPLE-FULFILL</t>
  </si>
  <si>
    <t>["OG-F06-EVIDENCE-CHECK"]</t>
  </si>
  <si>
    <t>OG-F07 bounded example</t>
  </si>
  <si>
    <t>OG-F07-EXAMPLE-FULFILL</t>
  </si>
  <si>
    <t>["OG-F07-EVIDENCE-CHECK"]</t>
  </si>
  <si>
    <t>🐙🔗 Run Artifacts</t>
  </si>
  <si>
    <t>4 — Pass Run</t>
  </si>
  <si>
    <t>5 — Artifact Revision</t>
  </si>
  <si>
    <t>6 — Direction</t>
  </si>
  <si>
    <t>7 — Slot</t>
  </si>
  <si>
    <t>8 — Slot Order</t>
  </si>
  <si>
    <t>9 — Input Approval</t>
  </si>
  <si>
    <t>10 — Handoff Notes</t>
  </si>
  <si>
    <t>RA-R-MANIFEST</t>
  </si>
  <si>
    <t>OUTPUT</t>
  </si>
  <si>
    <t>Registered output</t>
  </si>
  <si>
    <t>Reconstructed artifact ownership.</t>
  </si>
  <si>
    <t>RA-R-DOC-FINAL</t>
  </si>
  <si>
    <t>RA-R-CONTENT-F01</t>
  </si>
  <si>
    <t>RA-R-CONTRACT-F01</t>
  </si>
  <si>
    <t>RA-R-F01-SVG</t>
  </si>
  <si>
    <t>RA-R-ASSET-F01-SVG</t>
  </si>
  <si>
    <t>RA-R-F01-PNG</t>
  </si>
  <si>
    <t>RA-R-ASSET-F01-PNG</t>
  </si>
  <si>
    <t>RA-R-OUTPUT-F01</t>
  </si>
  <si>
    <t>RA-R-PLACE-F01</t>
  </si>
  <si>
    <t>RA-R-CONTENT-F02</t>
  </si>
  <si>
    <t>RA-R-CONTRACT-F02</t>
  </si>
  <si>
    <t>RA-R-F02-SVG</t>
  </si>
  <si>
    <t>RA-R-ASSET-F02-SVG</t>
  </si>
  <si>
    <t>RA-R-F02-PNG</t>
  </si>
  <si>
    <t>RA-R-ASSET-F02-PNG</t>
  </si>
  <si>
    <t>RA-R-OUTPUT-F02</t>
  </si>
  <si>
    <t>RA-R-PLACE-F02</t>
  </si>
  <si>
    <t>RA-R-CONTENT-F03</t>
  </si>
  <si>
    <t>RA-R-CONTRACT-F03</t>
  </si>
  <si>
    <t>RA-R-F03-SVG</t>
  </si>
  <si>
    <t>RA-R-ASSET-F03-SVG</t>
  </si>
  <si>
    <t>RA-R-F03-PNG</t>
  </si>
  <si>
    <t>RA-R-ASSET-F03-PNG</t>
  </si>
  <si>
    <t>RA-R-OUTPUT-F03</t>
  </si>
  <si>
    <t>RA-R-PLACE-F03</t>
  </si>
  <si>
    <t>RA-R-CONTENT-F04</t>
  </si>
  <si>
    <t>RA-R-CONTRACT-F04</t>
  </si>
  <si>
    <t>RA-R-F04-SVG</t>
  </si>
  <si>
    <t>RA-R-ASSET-F04-SVG</t>
  </si>
  <si>
    <t>RA-R-F04-PNG</t>
  </si>
  <si>
    <t>RA-R-ASSET-F04-PNG</t>
  </si>
  <si>
    <t>RA-R-OUTPUT-F04</t>
  </si>
  <si>
    <t>RA-R-PLACE-F04</t>
  </si>
  <si>
    <t>RA-R-CONTENT-F05</t>
  </si>
  <si>
    <t>RA-R-CONTRACT-F05</t>
  </si>
  <si>
    <t>RA-R-F05-SVG</t>
  </si>
  <si>
    <t>RA-R-ASSET-F05-SVG</t>
  </si>
  <si>
    <t>RA-R-F05-PNG</t>
  </si>
  <si>
    <t>RA-R-ASSET-F05-PNG</t>
  </si>
  <si>
    <t>RA-R-OUTPUT-F05</t>
  </si>
  <si>
    <t>RA-R-PLACE-F05</t>
  </si>
  <si>
    <t>RA-R-CONTENT-F06</t>
  </si>
  <si>
    <t>RA-R-CONTRACT-F06</t>
  </si>
  <si>
    <t>RA-R-F06-SVG</t>
  </si>
  <si>
    <t>RA-R-ASSET-F06-SVG</t>
  </si>
  <si>
    <t>RA-R-F06-PNG</t>
  </si>
  <si>
    <t>RA-R-ASSET-F06-PNG</t>
  </si>
  <si>
    <t>RA-R-OUTPUT-F06</t>
  </si>
  <si>
    <t>RA-R-PLACE-F06</t>
  </si>
  <si>
    <t>RA-R-CONTENT-F07</t>
  </si>
  <si>
    <t>RA-R-CONTRACT-F07</t>
  </si>
  <si>
    <t>RA-R-F07-SVG</t>
  </si>
  <si>
    <t>RA-R-ASSET-F07-SVG</t>
  </si>
  <si>
    <t>RA-R-F07-PNG</t>
  </si>
  <si>
    <t>RA-R-ASSET-F07-PNG</t>
  </si>
  <si>
    <t>RA-R-OUTPUT-F07</t>
  </si>
  <si>
    <t>RA-R-PLACE-F07</t>
  </si>
  <si>
    <t>RA-R-CONTENT-F08</t>
  </si>
  <si>
    <t>RA-R-CONTRACT-F08</t>
  </si>
  <si>
    <t>RA-R-F08-SVG</t>
  </si>
  <si>
    <t>RA-R-ASSET-F08-SVG</t>
  </si>
  <si>
    <t>RA-R-F08-PNG</t>
  </si>
  <si>
    <t>RA-R-ASSET-F08-PNG</t>
  </si>
  <si>
    <t>RA-R-OUTPUT-F08</t>
  </si>
  <si>
    <t>RA-R-PLACE-F08</t>
  </si>
  <si>
    <t>IN-DEP-F01-0</t>
  </si>
  <si>
    <t>Registered dependency</t>
  </si>
  <si>
    <t>Reconstructed link; historical exact-revision input approval not recorded.</t>
  </si>
  <si>
    <t>IN-DEP-F01-1</t>
  </si>
  <si>
    <t>IN-DEP-F01-2</t>
  </si>
  <si>
    <t>IN-DEP-F01-3</t>
  </si>
  <si>
    <t>IN-DEP-F02-4</t>
  </si>
  <si>
    <t>IN-DEP-F02-5</t>
  </si>
  <si>
    <t>IN-DEP-F02-6</t>
  </si>
  <si>
    <t>IN-DEP-F02-7</t>
  </si>
  <si>
    <t>IN-DEP-F03-8</t>
  </si>
  <si>
    <t>IN-DEP-F03-9</t>
  </si>
  <si>
    <t>IN-DEP-F03-10</t>
  </si>
  <si>
    <t>IN-DEP-F03-11</t>
  </si>
  <si>
    <t>IN-DEP-F04-12</t>
  </si>
  <si>
    <t>IN-DEP-F04-13</t>
  </si>
  <si>
    <t>IN-DEP-F04-14</t>
  </si>
  <si>
    <t>IN-DEP-F04-15</t>
  </si>
  <si>
    <t>IN-DEP-F05-16</t>
  </si>
  <si>
    <t>IN-DEP-F05-17</t>
  </si>
  <si>
    <t>IN-DEP-F05-18</t>
  </si>
  <si>
    <t>IN-DEP-F05-19</t>
  </si>
  <si>
    <t>IN-DEP-F06-20</t>
  </si>
  <si>
    <t>IN-DEP-F06-21</t>
  </si>
  <si>
    <t>IN-DEP-F06-22</t>
  </si>
  <si>
    <t>IN-DEP-F06-23</t>
  </si>
  <si>
    <t>IN-DEP-F07-24</t>
  </si>
  <si>
    <t>IN-DEP-F07-25</t>
  </si>
  <si>
    <t>IN-DEP-F07-26</t>
  </si>
  <si>
    <t>IN-DEP-F07-27</t>
  </si>
  <si>
    <t>IN-DEP-F08-28</t>
  </si>
  <si>
    <t>IN-DEP-F08-29</t>
  </si>
  <si>
    <t>IN-DEP-F08-30</t>
  </si>
  <si>
    <t>IN-DEP-F08-31</t>
  </si>
  <si>
    <t>OG-OUT-R-OG-FILE-WORKBOOK</t>
  </si>
  <si>
    <t>Registration or source baseline</t>
  </si>
  <si>
    <t>Registered in Wave A; source imports remain attributed.</t>
  </si>
  <si>
    <t>OG-OUT-R-OG-FILE-ARCH</t>
  </si>
  <si>
    <t>OG-OUT-R-OG-FILE-PLAN</t>
  </si>
  <si>
    <t>OG-OUT-R-OG-FILE-SCHEMA</t>
  </si>
  <si>
    <t>OG-OUT-R-OG-SOURCE-WORKBOOK</t>
  </si>
  <si>
    <t>OG-OUT-R-OG-SOURCE-ARCH</t>
  </si>
  <si>
    <t>OG-OUT-R-OG-SOURCE-PLAN</t>
  </si>
  <si>
    <t>OG-OUT-R-OG-PLAN</t>
  </si>
  <si>
    <t>OG-OUT-R-OG-C01</t>
  </si>
  <si>
    <t>OG-OUT-R-OG-PLACE-01</t>
  </si>
  <si>
    <t>OG-OUT-R-OG-C02</t>
  </si>
  <si>
    <t>OG-OUT-R-OG-PLACE-02</t>
  </si>
  <si>
    <t>OG-OUT-R-OG-C03</t>
  </si>
  <si>
    <t>OG-OUT-R-OG-PLACE-03</t>
  </si>
  <si>
    <t>OG-OUT-R-OG-C04</t>
  </si>
  <si>
    <t>OG-OUT-R-OG-PLACE-04</t>
  </si>
  <si>
    <t>OG-OUT-R-OG-C05</t>
  </si>
  <si>
    <t>OG-OUT-R-OG-PLACE-05</t>
  </si>
  <si>
    <t>OG-OUT-R-OG-C06</t>
  </si>
  <si>
    <t>OG-OUT-R-OG-PLACE-06</t>
  </si>
  <si>
    <t>OG-OUT-R-OG-C07</t>
  </si>
  <si>
    <t>OG-OUT-R-OG-PLACE-07</t>
  </si>
  <si>
    <t>OG-OUT-R-OG-C08</t>
  </si>
  <si>
    <t>OG-OUT-R-OG-PLACE-08</t>
  </si>
  <si>
    <t>OG-OUT-R-OG-C09</t>
  </si>
  <si>
    <t>OG-OUT-R-OG-PLACE-09</t>
  </si>
  <si>
    <t>OG-OUT-R-OG-C10</t>
  </si>
  <si>
    <t>OG-OUT-R-OG-PLACE-10</t>
  </si>
  <si>
    <t>OG-OUT-R-OG-C11</t>
  </si>
  <si>
    <t>OG-OUT-R-OG-PLACE-11</t>
  </si>
  <si>
    <t>OG-OUT-R-OG-C12</t>
  </si>
  <si>
    <t>OG-OUT-R-OG-PLACE-12</t>
  </si>
  <si>
    <t>OG-OUT-R-OG-A01</t>
  </si>
  <si>
    <t>OG-OUT-R-OG-A02</t>
  </si>
  <si>
    <t>OG-OUT-R-OG-A03</t>
  </si>
  <si>
    <t>OG-OUT-R-OG-A04</t>
  </si>
  <si>
    <t>OG-OUT-R-OG-A05</t>
  </si>
  <si>
    <t>OG-OUT-R-OG-A06</t>
  </si>
  <si>
    <t>OG-OUT-R-OG-F01</t>
  </si>
  <si>
    <t>OG-OUT-R-OG-F01-EXAMPLE</t>
  </si>
  <si>
    <t>OG-OUT-R-OG-F02</t>
  </si>
  <si>
    <t>OG-OUT-R-OG-F02-EXAMPLE</t>
  </si>
  <si>
    <t>OG-OUT-R-OG-F03</t>
  </si>
  <si>
    <t>OG-OUT-R-OG-F03-EXAMPLE</t>
  </si>
  <si>
    <t>OG-OUT-R-OG-F04</t>
  </si>
  <si>
    <t>OG-OUT-R-OG-F04-EXAMPLE</t>
  </si>
  <si>
    <t>OG-OUT-R-OG-F05</t>
  </si>
  <si>
    <t>OG-OUT-R-OG-F05-EXAMPLE</t>
  </si>
  <si>
    <t>OG-OUT-R-OG-F06</t>
  </si>
  <si>
    <t>OG-OUT-R-OG-F06-EXAMPLE</t>
  </si>
  <si>
    <t>OG-OUT-R-OG-F07</t>
  </si>
  <si>
    <t>OG-OUT-R-OG-F07-EXAMPLE</t>
  </si>
  <si>
    <t>OG-OUT-R-OG-A01-FILE</t>
  </si>
  <si>
    <t>OG-OUT-R-OG-A02-FILE</t>
  </si>
  <si>
    <t>OG-OUT-R-OG-A05-FILE</t>
  </si>
  <si>
    <t>Wave B output.</t>
  </si>
  <si>
    <t>OG-B-NOTATION-OUT</t>
  </si>
  <si>
    <t>Shared visual asset</t>
  </si>
  <si>
    <t>Consume exact revision; retain qualification labels.</t>
  </si>
  <si>
    <t>OG-B-COMPONENTS-OUT</t>
  </si>
  <si>
    <t>OG-B-TEXT-OUT</t>
  </si>
  <si>
    <t>OG-B-SAMPLE-OUT</t>
  </si>
  <si>
    <t>OG-B-USE-OUT</t>
  </si>
  <si>
    <t>OG-B-FONT-OUT</t>
  </si>
  <si>
    <t>Wave B input.</t>
  </si>
  <si>
    <t>OG-B-IN-1</t>
  </si>
  <si>
    <t>Required shared source</t>
  </si>
  <si>
    <t>Use pinned revision.</t>
  </si>
  <si>
    <t>OG-B-IN-2</t>
  </si>
  <si>
    <t>OG-B-IN-3</t>
  </si>
  <si>
    <t>OG-B-IN-4</t>
  </si>
  <si>
    <t>OG-B-IN-5</t>
  </si>
  <si>
    <t>Wave C output.</t>
  </si>
  <si>
    <t>OG-F01-SVG-OUT</t>
  </si>
  <si>
    <t>Figure and supporting record</t>
  </si>
  <si>
    <t>Consume exact revision and portable physical file paths.</t>
  </si>
  <si>
    <t>OG-F01-PNG-OUT</t>
  </si>
  <si>
    <t>OG-F01-EVIDENCE-OUT</t>
  </si>
  <si>
    <t>OG-F01-OUTPUT-OUT</t>
  </si>
  <si>
    <t>OG-F01-PLACE-OUT</t>
  </si>
  <si>
    <t>OG-F03-SVG-OUT</t>
  </si>
  <si>
    <t>OG-F03-PNG-OUT</t>
  </si>
  <si>
    <t>OG-F03-EVIDENCE-OUT</t>
  </si>
  <si>
    <t>OG-F03-OUTPUT-OUT</t>
  </si>
  <si>
    <t>OG-F03-PLACE-OUT</t>
  </si>
  <si>
    <t>Wave C input.</t>
  </si>
  <si>
    <t>OG-C-IN-1</t>
  </si>
  <si>
    <t>Pinned figure source</t>
  </si>
  <si>
    <t>Use registered exact revision.</t>
  </si>
  <si>
    <t>OG-C-IN-2</t>
  </si>
  <si>
    <t>OG-C-IN-3</t>
  </si>
  <si>
    <t>OG-C-IN-4</t>
  </si>
  <si>
    <t>OG-C-IN-5</t>
  </si>
  <si>
    <t>OG-C-IN-6</t>
  </si>
  <si>
    <t>OG-C-IN-7</t>
  </si>
  <si>
    <t>OG-C-IN-8</t>
  </si>
  <si>
    <t>Wave D output.</t>
  </si>
  <si>
    <t>OG-F02-SVG-OUT</t>
  </si>
  <si>
    <t>OG-F02-PNG-OUT</t>
  </si>
  <si>
    <t>OG-F02-EVIDENCE-OUT</t>
  </si>
  <si>
    <t>OG-F02-OUTPUT-OUT</t>
  </si>
  <si>
    <t>OG-F02-PLACE-OUT</t>
  </si>
  <si>
    <t>Wave D input.</t>
  </si>
  <si>
    <t>OG-D-IN-1</t>
  </si>
  <si>
    <t>OG-D-IN-2</t>
  </si>
  <si>
    <t>OG-D-IN-3</t>
  </si>
  <si>
    <t>OG-D-IN-4</t>
  </si>
  <si>
    <t>OG-D-IN-5</t>
  </si>
  <si>
    <t>OG-D-IN-6</t>
  </si>
  <si>
    <t>OG-D-IN-7</t>
  </si>
  <si>
    <t>Wave E output.</t>
  </si>
  <si>
    <t>OG-F04-SVG-OUT</t>
  </si>
  <si>
    <t>OG-F04-PNG-OUT</t>
  </si>
  <si>
    <t>OG-F04-EVIDENCE-OUT</t>
  </si>
  <si>
    <t>OG-F04-OUTPUT-OUT</t>
  </si>
  <si>
    <t>OG-F04-PLACE-OUT</t>
  </si>
  <si>
    <t>Wave E input.</t>
  </si>
  <si>
    <t>OG-E-IN-1</t>
  </si>
  <si>
    <t>OG-E-IN-2</t>
  </si>
  <si>
    <t>OG-E-IN-3</t>
  </si>
  <si>
    <t>OG-E-IN-4</t>
  </si>
  <si>
    <t>OG-E-IN-5</t>
  </si>
  <si>
    <t>OG-E-IN-6</t>
  </si>
  <si>
    <t>OG-E-IN-7</t>
  </si>
  <si>
    <t>Wave F output.</t>
  </si>
  <si>
    <t>OG-F05-SVG-OUT</t>
  </si>
  <si>
    <t>OG-F05-PNG-OUT</t>
  </si>
  <si>
    <t>OG-F05-EVIDENCE-OUT</t>
  </si>
  <si>
    <t>OG-F05-OUTPUT-OUT</t>
  </si>
  <si>
    <t>OG-F05-PLACE-OUT</t>
  </si>
  <si>
    <t>Wave F input.</t>
  </si>
  <si>
    <t>OG-F-IN-1</t>
  </si>
  <si>
    <t>OG-F-IN-2</t>
  </si>
  <si>
    <t>OG-F-IN-3</t>
  </si>
  <si>
    <t>OG-F-IN-4</t>
  </si>
  <si>
    <t>OG-F-IN-5</t>
  </si>
  <si>
    <t>OG-F-IN-6</t>
  </si>
  <si>
    <t>OG-F-IN-7</t>
  </si>
  <si>
    <t>Wave G output.</t>
  </si>
  <si>
    <t>OG-F06-SVG-OUT</t>
  </si>
  <si>
    <t>OG-F06-PNG-OUT</t>
  </si>
  <si>
    <t>OG-F06-EVIDENCE-OUT</t>
  </si>
  <si>
    <t>OG-F06-OUTPUT-OUT</t>
  </si>
  <si>
    <t>OG-F06-PLACE-OUT</t>
  </si>
  <si>
    <t>OG-F07-SVG-OUT</t>
  </si>
  <si>
    <t>OG-F07-PNG-OUT</t>
  </si>
  <si>
    <t>OG-F07-EVIDENCE-OUT</t>
  </si>
  <si>
    <t>OG-F07-OUTPUT-OUT</t>
  </si>
  <si>
    <t>OG-F07-PLACE-OUT</t>
  </si>
  <si>
    <t>Wave G input.</t>
  </si>
  <si>
    <t>OG-G-IN-1</t>
  </si>
  <si>
    <t>OG-G-IN-2</t>
  </si>
  <si>
    <t>OG-G-IN-3</t>
  </si>
  <si>
    <t>OG-G-IN-4</t>
  </si>
  <si>
    <t>OG-G-IN-5</t>
  </si>
  <si>
    <t>OG-G-IN-6</t>
  </si>
  <si>
    <t>OG-G-IN-7</t>
  </si>
  <si>
    <t>OG-G-IN-8</t>
  </si>
  <si>
    <t>Wave H output.</t>
  </si>
  <si>
    <t>OG-H-AUDIT-OUT</t>
  </si>
  <si>
    <t>Verified composition source</t>
  </si>
  <si>
    <t>Keep audit scope and final-pagination limitations explicit.</t>
  </si>
  <si>
    <t>OG-H-MANIFEST-OUT</t>
  </si>
  <si>
    <t>OG-H-HANDOFF-OUT</t>
  </si>
  <si>
    <t>Wave H input.</t>
  </si>
  <si>
    <t>OG-F01-H-IN</t>
  </si>
  <si>
    <t>Completed numbered figure</t>
  </si>
  <si>
    <t>Retain exact caption and alt text.</t>
  </si>
  <si>
    <t>OG-F02-H-IN</t>
  </si>
  <si>
    <t>OG-F03-H-IN</t>
  </si>
  <si>
    <t>OG-F04-H-IN</t>
  </si>
  <si>
    <t>OG-F05-H-IN</t>
  </si>
  <si>
    <t>OG-F06-H-IN</t>
  </si>
  <si>
    <t>OG-F07-H-IN</t>
  </si>
  <si>
    <t>Pass 7 output.</t>
  </si>
  <si>
    <t>OG-P7-DOC-OUT</t>
  </si>
  <si>
    <t>Composition result</t>
  </si>
  <si>
    <t>Candidate only; Pass 8 release review pending.</t>
  </si>
  <si>
    <t>OG-P7-PROSE-OUT</t>
  </si>
  <si>
    <t>OG-P7-TRACE-OUT</t>
  </si>
  <si>
    <t>OG-P7-CODE-OUT</t>
  </si>
  <si>
    <t>OG-P7-QA-OUT</t>
  </si>
  <si>
    <t>Approved Pass 7 input.</t>
  </si>
  <si>
    <t>OG-P7-IN-1</t>
  </si>
  <si>
    <t>Approved composition source</t>
  </si>
  <si>
    <t>Preserve consumed revision.</t>
  </si>
  <si>
    <t>OG-P7-IN-2</t>
  </si>
  <si>
    <t>OG-P7-IN-3</t>
  </si>
  <si>
    <t>OG-P7-IN-4</t>
  </si>
  <si>
    <t>OG-P7-IN-5</t>
  </si>
  <si>
    <t>OG-P7-IN-6</t>
  </si>
  <si>
    <t>OG-P7-IN-7</t>
  </si>
  <si>
    <t>OG-P7-IN-8</t>
  </si>
  <si>
    <t>OG-P7-IN-9</t>
  </si>
  <si>
    <t>Final review input/output.</t>
  </si>
  <si>
    <t>OG-P8-ART-0</t>
  </si>
  <si>
    <t>Final paper review</t>
  </si>
  <si>
    <t>Preserve exact approved paper bytes and scoped verification.</t>
  </si>
  <si>
    <t>OG-P8-ART-1</t>
  </si>
  <si>
    <t>OG-P8-ART-2</t>
  </si>
  <si>
    <t>OG-P8-ART-3</t>
  </si>
  <si>
    <t>📄🗺️ Document Plans</t>
  </si>
  <si>
    <t>5 — Project</t>
  </si>
  <si>
    <t>6 — Template</t>
  </si>
  <si>
    <t>7 — Ruleset</t>
  </si>
  <si>
    <t>8 — Theme</t>
  </si>
  <si>
    <t>9 — Spine Instructions</t>
  </si>
  <si>
    <t>10 — Candidate File</t>
  </si>
  <si>
    <t>Reconstructed figure sequence only; this is not the complete prose spine of the reviewed paper.</t>
  </si>
  <si>
    <t>Twelve registered headings establish planned section order. Section descriptions are content obligations, not final prose. Add CONTINUANCE payloads and figure placements when produced. Figure Contracts hold planned section anchors; no missing Figure Output links are fabricated.</t>
  </si>
  <si>
    <t>📄🧱 Templates</t>
  </si>
  <si>
    <t>5 — Output Kind</t>
  </si>
  <si>
    <t>6 — Assembly Instructions</t>
  </si>
  <si>
    <t>7 — Default Ruleset</t>
  </si>
  <si>
    <t>8 — Default Theme</t>
  </si>
  <si>
    <t>9 — Fit Policy</t>
  </si>
  <si>
    <t>10 — Renderer Contract</t>
  </si>
  <si>
    <t>Read the Document Plan. Sort its placements by Position ascending. Resolve each typed Slot and content/figure link; emit once in that order. Do not reauthor source meaning.</t>
  </si>
  <si>
    <t>Preserve aspect ratio and labels; move to the next region or page on overflow. Never silently clip.</t>
  </si>
  <si>
    <t>Declarative contract only. A renderer must implement HEADER, CONTINUANCE, FIGURE and report unsupported slots. This workbook does not execute DOCX rendering.</t>
  </si>
  <si>
    <t>📄🕳️ Template Slots</t>
  </si>
  <si>
    <t>5 — Template</t>
  </si>
  <si>
    <t>6 — Slot Role</t>
  </si>
  <si>
    <t>7 — Spine Type</t>
  </si>
  <si>
    <t>8 — Region</t>
  </si>
  <si>
    <t>9 — Presence</t>
  </si>
  <si>
    <t>10 — Geometry</t>
  </si>
  <si>
    <t>11 — Style Instructions</t>
  </si>
  <si>
    <t>12 — Overflow Rule</t>
  </si>
  <si>
    <t>13 — Allowed File Types</t>
  </si>
  <si>
    <t>Main document flow</t>
  </si>
  <si>
    <t>REPEATABLE</t>
  </si>
  <si>
    <t>Resolve available page width from selected renderer settings; preserve figure aspect ratio.</t>
  </si>
  <si>
    <t>Emit content as a section heading.</t>
  </si>
  <si>
    <t>Advance to next page/region and preserve reading order.</t>
  </si>
  <si>
    <t>Emit linked prose without introducing a new heading.</t>
  </si>
  <si>
    <t>Emit resolved Figure Output with caption and alternative text.</t>
  </si>
  <si>
    <t>image/png; image/svg+xml when supported</t>
  </si>
  <si>
    <t>📋⚙️ Rulesets</t>
  </si>
  <si>
    <t>5 — Rules</t>
  </si>
  <si>
    <t>6 — Conflict Policy</t>
  </si>
  <si>
    <t>7 — Application Instructions</t>
  </si>
  <si>
    <t>["RULE-SEM","RULE-REUSE","RULE-LAYOUT"]</t>
  </si>
  <si>
    <t>Higher Priority prevails. Same-priority contradictions block the affected operation. Semantic rules constrain appearance.</t>
  </si>
  <si>
    <t>Resolve this ordered list, evaluate each Condition, apply only applicable Rules, and retain exact contributing revisions.</t>
  </si>
  <si>
    <t>📏⚙️ Rules</t>
  </si>
  <si>
    <t>5 — Rule Kind</t>
  </si>
  <si>
    <t>6 — Condition</t>
  </si>
  <si>
    <t>7 — Requirement</t>
  </si>
  <si>
    <t>8 — Exclusions</t>
  </si>
  <si>
    <t>9 — Priority</t>
  </si>
  <si>
    <t>10 — Repair Instruction</t>
  </si>
  <si>
    <t>11 — Check Instruction</t>
  </si>
  <si>
    <t>All composed content and figures.</t>
  </si>
  <si>
    <t>Preserve exact semantic labels, qualifiers, and source relationships.</t>
  </si>
  <si>
    <t>Unsupported claims and invented source identities.</t>
  </si>
  <si>
    <t>Repair the owning Content Item or Figure Contract; propagate through Dependencies.</t>
  </si>
  <si>
    <t>Selecting an ingredient or figure.</t>
  </si>
  <si>
    <t>Resolve suitable existing registered files before requesting a new asset.</t>
  </si>
  <si>
    <t>Candidates excluded by applicable Rules or Theme.</t>
  </si>
  <si>
    <t>Repair the requirement or selection at its owning record.</t>
  </si>
  <si>
    <t>LAYOUT</t>
  </si>
  <si>
    <t>Document and figure assembly.</t>
  </si>
  <si>
    <t>Keep labels legible and exact; use available region geometry; report overflow.</t>
  </si>
  <si>
    <t>Clipped labels and silent semantic abbreviation.</t>
  </si>
  <si>
    <t>Repair Template Slot geometry or fit policy, then re-render.</t>
  </si>
  <si>
    <t>🎨🧬 Themes</t>
  </si>
  <si>
    <t>5 — Include</t>
  </si>
  <si>
    <t>6 — Exclude</t>
  </si>
  <si>
    <t>7 — Apply to Generation</t>
  </si>
  <si>
    <t>8 — Added Details</t>
  </si>
  <si>
    <t>9 — Visual Vocabulary</t>
  </si>
  <si>
    <t>10 — Conflict Policy</t>
  </si>
  <si>
    <t>Technical vectors, registered diagrams, and reusable notation.</t>
  </si>
  <si>
    <t>Decorative imagery that obscures semantic labels.</t>
  </si>
  <si>
    <t>NO</t>
  </si>
  <si>
    <t>Dark background, restrained neon highlights, crisp geometric edges.</t>
  </si>
  <si>
    <t>Readable light text; cyan navigation; amber editable controls. Semantic color assignments remain owned by the relevant kernel.</t>
  </si>
  <si>
    <t>Rules take precedence. Include and Exclude govern retrieval; Added Details enters generation only when explicitly enabled.</t>
  </si>
  <si>
    <t>🧩📐 Assembly Components</t>
  </si>
  <si>
    <t>5 — Assembly File</t>
  </si>
  <si>
    <t>6 — Component File</t>
  </si>
  <si>
    <t>7 — Usage Role</t>
  </si>
  <si>
    <t>8 — Layer Order</t>
  </si>
  <si>
    <t>9 — Transform JSON</t>
  </si>
  <si>
    <t>10 — Coordinate Convention</t>
  </si>
  <si>
    <t>11 — Blend Rule</t>
  </si>
  <si>
    <t>12 — Identity Treatment</t>
  </si>
  <si>
    <t>13 — Build Instructions</t>
  </si>
  <si>
    <t>14 — Component State</t>
  </si>
  <si>
    <t>15 — Readiness</t>
  </si>
  <si>
    <t>Illustrative component link; document placement owns reading order.</t>
  </si>
  <si>
    <t>{"x":0,"y":0,"scaleX":1,"scaleY":1,"rotationDeg":0,"opacity":1}</t>
  </si>
  <si>
    <t>Demonstration only: local top-left origin, x right, y down, pixel units, clockwise degrees about top-left pivot. These are not recovered historical page coordinates.</t>
  </si>
  <si>
    <t>Normal</t>
  </si>
  <si>
    <t>Resolve component bytes, apply transform using declared convention, retain source identity. For nested components, process child assemblies before their parents.</t>
  </si>
  <si>
    <t>BLOCKED</t>
  </si>
  <si>
    <t>✨📋 Generation Requests</t>
  </si>
  <si>
    <t>6 — Asset Requirement</t>
  </si>
  <si>
    <t>9 — Local Requirement</t>
  </si>
  <si>
    <t>10 — Compiled Readback</t>
  </si>
  <si>
    <t>11 — Readback Sources</t>
  </si>
  <si>
    <t>12 — Execution State</t>
  </si>
  <si>
    <t>13 — Result Files</t>
  </si>
  <si>
    <t>14 — Repair Notes</t>
  </si>
  <si>
    <t>Prepare a replacement editable F01 figure only if the existing file does not satisfy its registered contract.</t>
  </si>
  <si>
    <t>Prepare a replacement editable F01 figure only if the existing file does not satisfy its registered contract. Preserve exact semantic labels, qualifiers, and source relationships. Keep labels legible. Exclude unsupported claims, invented source identities, clipped labels, and decorative imagery that obscures semantic labels. Theme Added Details omitted because Apply to Generation = NO.</t>
  </si>
  <si>
    <t>["R-ASSET-F01-SVG","R-RULESET-TECH","R-RULE-SEM","R-RULE-REUSE","R-RULE-LAYOUT","R-THEME-NEON"]</t>
  </si>
  <si>
    <t>Illustrative request, not executed. Recompile readback when any contributing source revision changes. No human approval is required for this sandbox.</t>
  </si>
  <si>
    <t>📦♻️ Asset Lifecycle</t>
  </si>
  <si>
    <t>6 — Disposition</t>
  </si>
  <si>
    <t>7 — Reason</t>
  </si>
  <si>
    <t>8 — Destination</t>
  </si>
  <si>
    <t>9 — Persistent Identity</t>
  </si>
  <si>
    <t>10 — Previous Event</t>
  </si>
  <si>
    <t>F01 reusable candidate</t>
  </si>
  <si>
    <t>LIFE-F01</t>
  </si>
  <si>
    <t>REUSABLE CANDIDATE</t>
  </si>
  <si>
    <t>Editable technical figure may be useful as a future reference. Candidate designation performs no promotion.</t>
  </si>
  <si>
    <t>Release ID</t>
  </si>
  <si>
    <t>Member</t>
  </si>
  <si>
    <t>Included revision</t>
  </si>
  <si>
    <t>Resolved count</t>
  </si>
  <si>
    <t>Required check</t>
  </si>
  <si>
    <t>Accepted count</t>
  </si>
  <si>
    <t>Check target in release</t>
  </si>
  <si>
    <t>Release calculation workspace. Each release row has 32 member slots. Extend its block and matching Release summary ranges together for larger manifests. Add a block when adding a release beyond the three supplied slots.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</si>
</sst>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Carlito"/>
    </font>
    <font>
      <sz val="11"/>
      <color rgb="FFE5E7EB"/>
      <name val="Arial"/>
    </font>
    <font>
      <sz val="16"/>
      <color rgb="FFE5E7EB"/>
      <name val="Arial"/>
    </font>
    <font>
      <sz val="11"/>
      <color rgb="FF67E8F9"/>
      <name val="Arial"/>
    </font>
    <font>
      <b/>
      <sz val="11"/>
      <color rgb="FFE5E7EB"/>
      <name val="Arial"/>
    </font>
    <font>
      <sz val="17"/>
      <color rgb="FFE5E7EB"/>
      <name val="Arial"/>
    </font>
    <font>
      <sz val="11"/>
      <color rgb="FF111827"/>
      <name val="Arial"/>
    </font>
  </fonts>
  <fills count="5">
    <fill>
      <patternFill patternType="none"/>
    </fill>
    <fill>
      <patternFill patternType="gray125"/>
    </fill>
    <fill>
      <patternFill patternType="solid">
        <fgColor rgb="FF111827"/>
      </patternFill>
    </fill>
    <fill>
      <patternFill patternType="solid">
        <fgColor rgb="FF1E293B"/>
      </patternFill>
    </fill>
    <fill>
      <patternFill patternType="solid">
        <fgColor rgb="FFFDE68A"/>
      </patternFill>
    </fill>
  </fills>
  <borders count="1">
    <border>
      <left/>
      <right/>
      <top/>
      <bottom/>
      <diagonal/>
    </border>
  </borders>
  <cellStyleXfs count="1">
    <xf numFmtId="0" fontId="0" fillId="0" borderId="0"/>
  </cellStyleXfs>
  <cellXfs count="16">
    <xf numFmtId="0" fontId="0" fillId="0" borderId="0" xfId="0"/>
    <xf numFmtId="0" fontId="1" fillId="2" borderId="0" xfId="0" applyNumberFormat="1" applyFont="1" applyFill="1" applyBorder="1" applyAlignment="1">
      <alignment wrapText="1"/>
    </xf>
    <xf numFmtId="0" fontId="1" fillId="2" borderId="0" xfId="0" applyNumberFormat="1" applyFont="1" applyFill="1" applyBorder="1" applyAlignment="1">
      <alignment vertical="top" wrapText="1"/>
    </xf>
    <xf numFmtId="0" fontId="2" fillId="2" borderId="0" xfId="0" applyNumberFormat="1" applyFont="1" applyFill="1" applyBorder="1" applyAlignment="1">
      <alignment vertical="top" wrapText="1"/>
    </xf>
    <xf numFmtId="0" fontId="3" fillId="2" borderId="0" xfId="0" applyNumberFormat="1" applyFont="1" applyFill="1" applyBorder="1" applyAlignment="1">
      <alignment vertical="top" wrapText="1"/>
    </xf>
    <xf numFmtId="49" fontId="1" fillId="2" borderId="0" xfId="0" applyNumberFormat="1" applyFont="1" applyFill="1" applyBorder="1" applyAlignment="1">
      <alignment vertical="top" wrapText="1"/>
    </xf>
    <xf numFmtId="0" fontId="1" fillId="3" borderId="0" xfId="0" applyNumberFormat="1" applyFont="1" applyFill="1" applyBorder="1" applyAlignment="1">
      <alignment vertical="top" wrapText="1"/>
    </xf>
    <xf numFmtId="0" fontId="4" fillId="3" borderId="0" xfId="0" applyNumberFormat="1" applyFont="1" applyFill="1" applyBorder="1" applyAlignment="1">
      <alignment vertical="top" wrapText="1"/>
    </xf>
    <xf numFmtId="1" fontId="1" fillId="2" borderId="0" xfId="0" applyNumberFormat="1" applyFont="1" applyFill="1" applyBorder="1" applyAlignment="1">
      <alignment vertical="top" wrapText="1"/>
    </xf>
    <xf numFmtId="0" fontId="6" fillId="4" borderId="0" xfId="0" applyNumberFormat="1" applyFont="1" applyFill="1" applyBorder="1" applyAlignment="1">
      <alignment vertical="top" wrapText="1"/>
    </xf>
    <xf numFmtId="0" fontId="1" fillId="3" borderId="0" xfId="0" applyNumberFormat="1" applyFont="1" applyFill="1" applyBorder="1" applyAlignment="1">
      <alignment wrapText="1"/>
    </xf>
    <xf numFmtId="0" fontId="5" fillId="2" borderId="0" xfId="0" applyNumberFormat="1" applyFont="1" applyFill="1" applyBorder="1" applyAlignment="1">
      <alignment vertical="top" wrapText="1"/>
    </xf>
    <xf numFmtId="0" fontId="1" fillId="2" borderId="0" xfId="0" applyNumberFormat="1" applyFont="1" applyFill="1" applyBorder="1" applyAlignment="1">
      <alignment vertical="top" wrapText="1"/>
    </xf>
    <xf numFmtId="0" fontId="1" fillId="3" borderId="0" xfId="0" applyNumberFormat="1" applyFont="1" applyFill="1" applyBorder="1" applyAlignment="1">
      <alignment vertical="top" wrapText="1"/>
    </xf>
    <xf numFmtId="0" fontId="2" fillId="2" borderId="0" xfId="0" applyNumberFormat="1" applyFont="1" applyFill="1" applyBorder="1" applyAlignment="1">
      <alignment vertical="top" wrapText="1"/>
    </xf>
    <xf numFmtId="0" fontId="0" fillId="0" borderId="0" xfId="0" applyNumberFormat="1" applyFont="1" applyFill="1" applyBorder="1" applyAlignment="1">
      <alignment wrapText="1"/>
    </xf>
  </cellXfs>
  <cellStyles count="1">
    <cellStyle name="Normal" xfId="0" builtinId="0"/>
  </cellStyles>
  <dxfs count="12">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
      <font>
        <color rgb="FFFECACA"/>
      </font>
      <fill>
        <patternFill patternType="solid">
          <bgColor rgb="FF7F1D1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worksheet" Target="worksheets/sheet18.xml" /><Relationship Id="rId26" Type="http://schemas.openxmlformats.org/officeDocument/2006/relationships/worksheet" Target="worksheets/sheet26.xml" /><Relationship Id="rId39" Type="http://schemas.openxmlformats.org/officeDocument/2006/relationships/styles" Target="styles.xml" /><Relationship Id="rId3" Type="http://schemas.openxmlformats.org/officeDocument/2006/relationships/worksheet" Target="worksheets/sheet3.xml" /><Relationship Id="rId21" Type="http://schemas.openxmlformats.org/officeDocument/2006/relationships/worksheet" Target="worksheets/sheet21.xml" /><Relationship Id="rId34" Type="http://schemas.openxmlformats.org/officeDocument/2006/relationships/worksheet" Target="worksheets/sheet34.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worksheet" Target="worksheets/sheet17.xml" /><Relationship Id="rId25" Type="http://schemas.openxmlformats.org/officeDocument/2006/relationships/worksheet" Target="worksheets/sheet25.xml" /><Relationship Id="rId33" Type="http://schemas.openxmlformats.org/officeDocument/2006/relationships/worksheet" Target="worksheets/sheet33.xml" /><Relationship Id="rId38" Type="http://schemas.openxmlformats.org/officeDocument/2006/relationships/theme" Target="theme/theme1.xml" /><Relationship Id="rId2" Type="http://schemas.openxmlformats.org/officeDocument/2006/relationships/worksheet" Target="worksheets/sheet2.xml" /><Relationship Id="rId16" Type="http://schemas.openxmlformats.org/officeDocument/2006/relationships/worksheet" Target="worksheets/sheet16.xml" /><Relationship Id="rId20" Type="http://schemas.openxmlformats.org/officeDocument/2006/relationships/worksheet" Target="worksheets/sheet20.xml" /><Relationship Id="rId29" Type="http://schemas.openxmlformats.org/officeDocument/2006/relationships/worksheet" Target="worksheets/sheet29.xml" /><Relationship Id="rId41" Type="http://schemas.openxmlformats.org/officeDocument/2006/relationships/calcChain" Target="calcChain.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24" Type="http://schemas.openxmlformats.org/officeDocument/2006/relationships/worksheet" Target="worksheets/sheet24.xml" /><Relationship Id="rId32" Type="http://schemas.openxmlformats.org/officeDocument/2006/relationships/worksheet" Target="worksheets/sheet32.xml" /><Relationship Id="rId37" Type="http://schemas.openxmlformats.org/officeDocument/2006/relationships/worksheet" Target="worksheets/sheet37.xml" /><Relationship Id="rId40" Type="http://schemas.openxmlformats.org/officeDocument/2006/relationships/sharedStrings" Target="sharedStrings.xml" /><Relationship Id="rId5" Type="http://schemas.openxmlformats.org/officeDocument/2006/relationships/worksheet" Target="worksheets/sheet5.xml" /><Relationship Id="rId15" Type="http://schemas.openxmlformats.org/officeDocument/2006/relationships/worksheet" Target="worksheets/sheet15.xml" /><Relationship Id="rId23" Type="http://schemas.openxmlformats.org/officeDocument/2006/relationships/worksheet" Target="worksheets/sheet23.xml" /><Relationship Id="rId28" Type="http://schemas.openxmlformats.org/officeDocument/2006/relationships/worksheet" Target="worksheets/sheet28.xml" /><Relationship Id="rId36" Type="http://schemas.openxmlformats.org/officeDocument/2006/relationships/worksheet" Target="worksheets/sheet36.xml" /><Relationship Id="rId10" Type="http://schemas.openxmlformats.org/officeDocument/2006/relationships/worksheet" Target="worksheets/sheet10.xml" /><Relationship Id="rId19" Type="http://schemas.openxmlformats.org/officeDocument/2006/relationships/worksheet" Target="worksheets/sheet19.xml" /><Relationship Id="rId31" Type="http://schemas.openxmlformats.org/officeDocument/2006/relationships/worksheet" Target="worksheets/sheet31.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 Id="rId22" Type="http://schemas.openxmlformats.org/officeDocument/2006/relationships/worksheet" Target="worksheets/sheet22.xml" /><Relationship Id="rId27" Type="http://schemas.openxmlformats.org/officeDocument/2006/relationships/worksheet" Target="worksheets/sheet27.xml" /><Relationship Id="rId30" Type="http://schemas.openxmlformats.org/officeDocument/2006/relationships/worksheet" Target="worksheets/sheet30.xml" /><Relationship Id="rId35" Type="http://schemas.openxmlformats.org/officeDocument/2006/relationships/worksheet" Target="worksheets/sheet35.xml" /></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og_projects" displayName="og_projects" ref="A6:O9" totalsRowShown="0">
  <tableColumns count="15">
    <tableColumn id="1" xr3:uid="{00000000-0010-0000-0000-000001000000}" name="f01_name"/>
    <tableColumn id="2" xr3:uid="{00000000-0010-0000-0000-000002000000}" name="f02_description"/>
    <tableColumn id="3" xr3:uid="{00000000-0010-0000-0000-000003000000}" name="f03_record_id"/>
    <tableColumn id="4" xr3:uid="{00000000-0010-0000-0000-000004000000}" name="f04_template_release"/>
    <tableColumn id="5" xr3:uid="{00000000-0010-0000-0000-000005000000}" name="f05_project_mode"/>
    <tableColumn id="6" xr3:uid="{00000000-0010-0000-0000-000006000000}" name="f06_scope"/>
    <tableColumn id="7" xr3:uid="{00000000-0010-0000-0000-000007000000}" name="f07_active_pass_run"/>
    <tableColumn id="8" xr3:uid="{00000000-0010-0000-0000-000008000000}" name="f08_current_candidate"/>
    <tableColumn id="9" xr3:uid="{00000000-0010-0000-0000-000009000000}" name="f09_current_release"/>
    <tableColumn id="10" xr3:uid="{00000000-0010-0000-0000-00000A000000}" name="f10_work_state"/>
    <tableColumn id="11" xr3:uid="{00000000-0010-0000-0000-00000B000000}" name="f11_owner"/>
    <tableColumn id="12" xr3:uid="{00000000-0010-0000-0000-00000C000000}" name="f12_template"/>
    <tableColumn id="13" xr3:uid="{00000000-0010-0000-0000-00000D000000}" name="f13_ruleset"/>
    <tableColumn id="14" xr3:uid="{00000000-0010-0000-0000-00000E000000}" name="f14_theme"/>
    <tableColumn id="15" xr3:uid="{00000000-0010-0000-0000-00000F000000}" name="f15_execution_policy"/>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og_pass_definitions" displayName="og_pass_definitions" ref="A6:L14" totalsRowShown="0">
  <tableColumns count="12">
    <tableColumn id="1" xr3:uid="{00000000-0010-0000-0100-000001000000}" name="f01_name"/>
    <tableColumn id="2" xr3:uid="{00000000-0010-0000-0100-000002000000}" name="f02_description"/>
    <tableColumn id="3" xr3:uid="{00000000-0010-0000-0100-000003000000}" name="f03_record_id"/>
    <tableColumn id="4" xr3:uid="{00000000-0010-0000-0100-000004000000}" name="f04_revision"/>
    <tableColumn id="5" xr3:uid="{00000000-0010-0000-0100-000005000000}" name="f05_pass_number"/>
    <tableColumn id="6" xr3:uid="{00000000-0010-0000-0100-000006000000}" name="f06_required_inputs"/>
    <tableColumn id="7" xr3:uid="{00000000-0010-0000-0100-000007000000}" name="f07_owned_decisions"/>
    <tableColumn id="8" xr3:uid="{00000000-0010-0000-0100-000008000000}" name="f08_transformation"/>
    <tableColumn id="9" xr3:uid="{00000000-0010-0000-0100-000009000000}" name="f09_required_outputs"/>
    <tableColumn id="10" xr3:uid="{00000000-0010-0000-0100-00000A000000}" name="f10_exit_criteria"/>
    <tableColumn id="11" xr3:uid="{00000000-0010-0000-0100-00000B000000}" name="f11_repair_routing"/>
    <tableColumn id="12" xr3:uid="{00000000-0010-0000-0100-00000C000000}" name="f12_instructions"/>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og_pass_runs" displayName="og_pass_runs" ref="A6:M28" totalsRowShown="0">
  <tableColumns count="13">
    <tableColumn id="1" xr3:uid="{00000000-0010-0000-0200-000001000000}" name="f01_name"/>
    <tableColumn id="2" xr3:uid="{00000000-0010-0000-0200-000002000000}" name="f02_description"/>
    <tableColumn id="3" xr3:uid="{00000000-0010-0000-0200-000003000000}" name="f03_record_id"/>
    <tableColumn id="4" xr3:uid="{00000000-0010-0000-0200-000004000000}" name="f04_project"/>
    <tableColumn id="5" xr3:uid="{00000000-0010-0000-0200-000005000000}" name="f05_pass_definition"/>
    <tableColumn id="6" xr3:uid="{00000000-0010-0000-0200-000006000000}" name="f06_parent_run"/>
    <tableColumn id="7" xr3:uid="{00000000-0010-0000-0200-000007000000}" name="f07_wave_label"/>
    <tableColumn id="8" xr3:uid="{00000000-0010-0000-0200-000008000000}" name="f08_execution_order"/>
    <tableColumn id="9" xr3:uid="{00000000-0010-0000-0200-000009000000}" name="f09_previous_attempt"/>
    <tableColumn id="10" xr3:uid="{00000000-0010-0000-0200-00000A000000}" name="f10_work_state"/>
    <tableColumn id="11" xr3:uid="{00000000-0010-0000-0200-00000B000000}" name="f11_decision_record"/>
    <tableColumn id="12" xr3:uid="{00000000-0010-0000-0200-00000C000000}" name="f12_handoff"/>
    <tableColumn id="13" xr3:uid="{00000000-0010-0000-0200-00000D000000}" name="f13_evidence_origi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og_instructions" displayName="og_instructions" ref="A6:M426" totalsRowShown="0">
  <tableColumns count="13">
    <tableColumn id="1" xr3:uid="{00000000-0010-0000-0300-000001000000}" name="f01_name"/>
    <tableColumn id="2" xr3:uid="{00000000-0010-0000-0300-000002000000}" name="f02_description"/>
    <tableColumn id="3" xr3:uid="{00000000-0010-0000-0300-000003000000}" name="f03_record_id"/>
    <tableColumn id="4" xr3:uid="{00000000-0010-0000-0300-000004000000}" name="f04_revision"/>
    <tableColumn id="5" xr3:uid="{00000000-0010-0000-0300-000005000000}" name="f05_scope"/>
    <tableColumn id="6" xr3:uid="{00000000-0010-0000-0300-000006000000}" name="f06_target_table"/>
    <tableColumn id="7" xr3:uid="{00000000-0010-0000-0300-000007000000}" name="f07_target_field"/>
    <tableColumn id="8" xr3:uid="{00000000-0010-0000-0300-000008000000}" name="f08_read_first"/>
    <tableColumn id="9" xr3:uid="{00000000-0010-0000-0300-000009000000}" name="f09_required_when"/>
    <tableColumn id="10" xr3:uid="{00000000-0010-0000-0300-00000A000000}" name="f10_procedure"/>
    <tableColumn id="11" xr3:uid="{00000000-0010-0000-0300-00000B000000}" name="f11_acceptance_rule"/>
    <tableColumn id="12" xr3:uid="{00000000-0010-0000-0300-00000C000000}" name="f12_example"/>
    <tableColumn id="13" xr3:uid="{00000000-0010-0000-0300-00000D000000}" name="f13_next_traversal"/>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og_record_revisions" displayName="og_record_revisions" ref="A6:M650" totalsRowShown="0">
  <tableColumns count="13">
    <tableColumn id="1" xr3:uid="{00000000-0010-0000-0400-000001000000}" name="f01_name"/>
    <tableColumn id="2" xr3:uid="{00000000-0010-0000-0400-000002000000}" name="f02_description"/>
    <tableColumn id="3" xr3:uid="{00000000-0010-0000-0400-000003000000}" name="f03_record_id"/>
    <tableColumn id="4" xr3:uid="{00000000-0010-0000-0400-000004000000}" name="f04_artifact_id"/>
    <tableColumn id="5" xr3:uid="{00000000-0010-0000-0400-000005000000}" name="f05_revision_number"/>
    <tableColumn id="6" xr3:uid="{00000000-0010-0000-0400-000006000000}" name="f06_project"/>
    <tableColumn id="7" xr3:uid="{00000000-0010-0000-0400-000007000000}" name="f07_payload_table"/>
    <tableColumn id="8" xr3:uid="{00000000-0010-0000-0400-000008000000}" name="f08_payload_record_id"/>
    <tableColumn id="9" xr3:uid="{00000000-0010-0000-0400-000009000000}" name="f09_previous_revision"/>
    <tableColumn id="10" xr3:uid="{00000000-0010-0000-0400-00000A000000}" name="f10_producing_run"/>
    <tableColumn id="11" xr3:uid="{00000000-0010-0000-0400-00000B000000}" name="f11_change_summary"/>
    <tableColumn id="12" xr3:uid="{00000000-0010-0000-0400-00000C000000}" name="f12_evidence_origin"/>
    <tableColumn id="13" xr3:uid="{00000000-0010-0000-0400-00000D000000}" name="f13_clone_treatment"/>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og_sources" displayName="og_sources" ref="A6:K10" totalsRowShown="0">
  <tableColumns count="11">
    <tableColumn id="1" xr3:uid="{00000000-0010-0000-0500-000001000000}" name="f01_name"/>
    <tableColumn id="2" xr3:uid="{00000000-0010-0000-0500-000002000000}" name="f02_description"/>
    <tableColumn id="3" xr3:uid="{00000000-0010-0000-0500-000003000000}" name="f03_record_id"/>
    <tableColumn id="4" xr3:uid="{00000000-0010-0000-0500-000004000000}" name="f04_revision"/>
    <tableColumn id="5" xr3:uid="{00000000-0010-0000-0500-000005000000}" name="f05_source_kind"/>
    <tableColumn id="6" xr3:uid="{00000000-0010-0000-0500-000006000000}" name="f06_local_snapshot"/>
    <tableColumn id="7" xr3:uid="{00000000-0010-0000-0500-000007000000}" name="f07_source_url"/>
    <tableColumn id="8" xr3:uid="{00000000-0010-0000-0500-000008000000}" name="f08_source_version"/>
    <tableColumn id="9" xr3:uid="{00000000-0010-0000-0500-000009000000}" name="f09_provenance"/>
    <tableColumn id="10" xr3:uid="{00000000-0010-0000-0500-00000A000000}" name="f10_authority_role"/>
    <tableColumn id="11" xr3:uid="{00000000-0010-0000-0500-00000B000000}" name="f11_use_conditions"/>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og_content_items" displayName="og_content_items" ref="A6:K38" totalsRowShown="0">
  <tableColumns count="11">
    <tableColumn id="1" xr3:uid="{00000000-0010-0000-0600-000001000000}" name="f01_name"/>
    <tableColumn id="2" xr3:uid="{00000000-0010-0000-0600-000002000000}" name="f02_description"/>
    <tableColumn id="3" xr3:uid="{00000000-0010-0000-0600-000003000000}" name="f03_record_id"/>
    <tableColumn id="4" xr3:uid="{00000000-0010-0000-0600-000004000000}" name="f04_revision"/>
    <tableColumn id="5" xr3:uid="{00000000-0010-0000-0600-000005000000}" name="f05_content_kind"/>
    <tableColumn id="6" xr3:uid="{00000000-0010-0000-0600-000006000000}" name="f06_parent_item"/>
    <tableColumn id="7" xr3:uid="{00000000-0010-0000-0600-000007000000}" name="f07_content_order"/>
    <tableColumn id="8" xr3:uid="{00000000-0010-0000-0600-000008000000}" name="f08_text"/>
    <tableColumn id="9" xr3:uid="{00000000-0010-0000-0600-000009000000}" name="f09_scope_and_qualifications"/>
    <tableColumn id="10" xr3:uid="{00000000-0010-0000-0600-00000A000000}" name="f10_basis"/>
    <tableColumn id="11" xr3:uid="{00000000-0010-0000-0600-00000B000000}" name="f11_acceptance_criteria"/>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og_figure_contracts" displayName="og_figure_contracts" ref="A6:K21" totalsRowShown="0">
  <tableColumns count="11">
    <tableColumn id="1" xr3:uid="{00000000-0010-0000-0700-000001000000}" name="f01_name"/>
    <tableColumn id="2" xr3:uid="{00000000-0010-0000-0700-000002000000}" name="f02_description"/>
    <tableColumn id="3" xr3:uid="{00000000-0010-0000-0700-000003000000}" name="f03_record_id"/>
    <tableColumn id="4" xr3:uid="{00000000-0010-0000-0700-000004000000}" name="f04_revision"/>
    <tableColumn id="5" xr3:uid="{00000000-0010-0000-0700-000005000000}" name="f05_figure_role_id"/>
    <tableColumn id="6" xr3:uid="{00000000-0010-0000-0700-000006000000}" name="f06_reader_question"/>
    <tableColumn id="7" xr3:uid="{00000000-0010-0000-0700-000007000000}" name="f07_must_show"/>
    <tableColumn id="8" xr3:uid="{00000000-0010-0000-0700-000008000000}" name="f08_must_not_imply"/>
    <tableColumn id="9" xr3:uid="{00000000-0010-0000-0700-000009000000}" name="f09_visual_encoding"/>
    <tableColumn id="10" xr3:uid="{00000000-0010-0000-0700-00000A000000}" name="f10_caption_requirements"/>
    <tableColumn id="11" xr3:uid="{00000000-0010-0000-0700-00000B000000}" name="f11_acceptance_criteria"/>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og_asset_requirements" displayName="og_asset_requirements" ref="A6:K40" totalsRowShown="0">
  <tableColumns count="11">
    <tableColumn id="1" xr3:uid="{00000000-0010-0000-0800-000001000000}" name="f01_name"/>
    <tableColumn id="2" xr3:uid="{00000000-0010-0000-0800-000002000000}" name="f02_description"/>
    <tableColumn id="3" xr3:uid="{00000000-0010-0000-0800-000003000000}" name="f03_record_id"/>
    <tableColumn id="4" xr3:uid="{00000000-0010-0000-0800-000004000000}" name="f04_revision"/>
    <tableColumn id="5" xr3:uid="{00000000-0010-0000-0800-000005000000}" name="f05_asset_role_id"/>
    <tableColumn id="6" xr3:uid="{00000000-0010-0000-0800-000006000000}" name="f06_asset_kind"/>
    <tableColumn id="7" xr3:uid="{00000000-0010-0000-0800-000007000000}" name="f07_semantic_requirements"/>
    <tableColumn id="8" xr3:uid="{00000000-0010-0000-0800-000008000000}" name="f08_technical_requirements"/>
    <tableColumn id="9" xr3:uid="{00000000-0010-0000-0800-000009000000}" name="f09_acquisition_instructions"/>
    <tableColumn id="10" xr3:uid="{00000000-0010-0000-0800-00000A000000}" name="f10_reuse_conditions"/>
    <tableColumn id="11" xr3:uid="{00000000-0010-0000-0800-00000B000000}" name="f11_acceptance_criteria"/>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og_file_revisions" displayName="og_file_revisions" ref="A6:M68" totalsRowShown="0">
  <tableColumns count="13">
    <tableColumn id="1" xr3:uid="{00000000-0010-0000-0900-000001000000}" name="f01_name"/>
    <tableColumn id="2" xr3:uid="{00000000-0010-0000-0900-000002000000}" name="f02_description"/>
    <tableColumn id="3" xr3:uid="{00000000-0010-0000-0900-000003000000}" name="f03_record_id"/>
    <tableColumn id="4" xr3:uid="{00000000-0010-0000-0900-000004000000}" name="f04_revision"/>
    <tableColumn id="5" xr3:uid="{00000000-0010-0000-0900-000005000000}" name="f05_file_kind"/>
    <tableColumn id="6" xr3:uid="{00000000-0010-0000-0900-000006000000}" name="f06_local_path"/>
    <tableColumn id="7" xr3:uid="{00000000-0010-0000-0900-000007000000}" name="f07_online_url"/>
    <tableColumn id="8" xr3:uid="{00000000-0010-0000-0900-000008000000}" name="f08_media_type"/>
    <tableColumn id="9" xr3:uid="{00000000-0010-0000-0900-000009000000}" name="f09_sha_256"/>
    <tableColumn id="10" xr3:uid="{00000000-0010-0000-0900-00000A000000}" name="f10_byte_size"/>
    <tableColumn id="11" xr3:uid="{00000000-0010-0000-0900-00000B000000}" name="f11_provenance"/>
    <tableColumn id="12" xr3:uid="{00000000-0010-0000-0900-00000C000000}" name="f12_reproduction_instructions"/>
    <tableColumn id="13" xr3:uid="{00000000-0010-0000-0900-00000D000000}" name="f13_availability"/>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og_figure_outputs" displayName="og_figure_outputs" ref="A6:K21" totalsRowShown="0">
  <tableColumns count="11">
    <tableColumn id="1" xr3:uid="{00000000-0010-0000-0A00-000001000000}" name="f01_name"/>
    <tableColumn id="2" xr3:uid="{00000000-0010-0000-0A00-000002000000}" name="f02_description"/>
    <tableColumn id="3" xr3:uid="{00000000-0010-0000-0A00-000003000000}" name="f03_record_id"/>
    <tableColumn id="4" xr3:uid="{00000000-0010-0000-0A00-000004000000}" name="f04_revision"/>
    <tableColumn id="5" xr3:uid="{00000000-0010-0000-0A00-000005000000}" name="f05_figure_contract"/>
    <tableColumn id="6" xr3:uid="{00000000-0010-0000-0A00-000006000000}" name="f06_display_file"/>
    <tableColumn id="7" xr3:uid="{00000000-0010-0000-0A00-000007000000}" name="f07_editable_files"/>
    <tableColumn id="8" xr3:uid="{00000000-0010-0000-0A00-000008000000}" name="f08_used_fulfillments"/>
    <tableColumn id="9" xr3:uid="{00000000-0010-0000-0A00-000009000000}" name="f09_caption"/>
    <tableColumn id="10" xr3:uid="{00000000-0010-0000-0A00-00000A000000}" name="f10_alternative_text"/>
    <tableColumn id="11" xr3:uid="{00000000-0010-0000-0A00-00000B000000}" name="f11_implementation_notes"/>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og_document_placements" displayName="og_document_placements" ref="A6:O45" totalsRowShown="0">
  <tableColumns count="15">
    <tableColumn id="1" xr3:uid="{00000000-0010-0000-0B00-000001000000}" name="f01_name"/>
    <tableColumn id="2" xr3:uid="{00000000-0010-0000-0B00-000002000000}" name="f02_description"/>
    <tableColumn id="3" xr3:uid="{00000000-0010-0000-0B00-000003000000}" name="f03_record_id"/>
    <tableColumn id="4" xr3:uid="{00000000-0010-0000-0B00-000004000000}" name="f04_revision"/>
    <tableColumn id="5" xr3:uid="{00000000-0010-0000-0B00-000005000000}" name="f05_document_revision"/>
    <tableColumn id="6" xr3:uid="{00000000-0010-0000-0B00-000006000000}" name="f06_position"/>
    <tableColumn id="7" xr3:uid="{00000000-0010-0000-0B00-000007000000}" name="f07_placement_kind"/>
    <tableColumn id="8" xr3:uid="{00000000-0010-0000-0B00-000008000000}" name="f08_content_item"/>
    <tableColumn id="9" xr3:uid="{00000000-0010-0000-0B00-000009000000}" name="f09_figure_output"/>
    <tableColumn id="10" xr3:uid="{00000000-0010-0000-0B00-00000A000000}" name="f10_section_anchor"/>
    <tableColumn id="11" xr3:uid="{00000000-0010-0000-0B00-00000B000000}" name="f11_layout_instructions"/>
    <tableColumn id="12" xr3:uid="{00000000-0010-0000-0B00-00000C000000}" name="f12_rendered_locator"/>
    <tableColumn id="13" xr3:uid="{00000000-0010-0000-0B00-00000D000000}" name="f13_document_plan"/>
    <tableColumn id="14" xr3:uid="{00000000-0010-0000-0B00-00000E000000}" name="f14_spine_type"/>
    <tableColumn id="15" xr3:uid="{00000000-0010-0000-0B00-00000F000000}" name="f15_template_slot"/>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og_dependencies" displayName="og_dependencies" ref="A6:K223" totalsRowShown="0">
  <tableColumns count="11">
    <tableColumn id="1" xr3:uid="{00000000-0010-0000-0C00-000001000000}" name="f01_name"/>
    <tableColumn id="2" xr3:uid="{00000000-0010-0000-0C00-000002000000}" name="f02_description"/>
    <tableColumn id="3" xr3:uid="{00000000-0010-0000-0C00-000003000000}" name="f03_record_id"/>
    <tableColumn id="4" xr3:uid="{00000000-0010-0000-0C00-000004000000}" name="f04_upstream_revision"/>
    <tableColumn id="5" xr3:uid="{00000000-0010-0000-0C00-000005000000}" name="f05_downstream_revision"/>
    <tableColumn id="6" xr3:uid="{00000000-0010-0000-0C00-000006000000}" name="f06_relationship"/>
    <tableColumn id="7" xr3:uid="{00000000-0010-0000-0C00-000007000000}" name="f07_dependency_scope"/>
    <tableColumn id="8" xr3:uid="{00000000-0010-0000-0C00-000008000000}" name="f08_recheck_rule"/>
    <tableColumn id="9" xr3:uid="{00000000-0010-0000-0C00-000009000000}" name="f09_dependency_condition"/>
    <tableColumn id="10" xr3:uid="{00000000-0010-0000-0C00-00000A000000}" name="f10_trigger_revision"/>
    <tableColumn id="11" xr3:uid="{00000000-0010-0000-0C00-00000B000000}" name="f11_recheck"/>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og_checks" displayName="og_checks" ref="A6:M61" totalsRowShown="0">
  <tableColumns count="13">
    <tableColumn id="1" xr3:uid="{00000000-0010-0000-0D00-000001000000}" name="f01_name"/>
    <tableColumn id="2" xr3:uid="{00000000-0010-0000-0D00-000002000000}" name="f02_description"/>
    <tableColumn id="3" xr3:uid="{00000000-0010-0000-0D00-000003000000}" name="f03_record_id"/>
    <tableColumn id="4" xr3:uid="{00000000-0010-0000-0D00-000004000000}" name="f04_target_revision"/>
    <tableColumn id="5" xr3:uid="{00000000-0010-0000-0D00-000005000000}" name="f05_check_instruction"/>
    <tableColumn id="6" xr3:uid="{00000000-0010-0000-0D00-000006000000}" name="f06_executing_run"/>
    <tableColumn id="7" xr3:uid="{00000000-0010-0000-0D00-000007000000}" name="f07_check_kind"/>
    <tableColumn id="8" xr3:uid="{00000000-0010-0000-0D00-000008000000}" name="f08_result"/>
    <tableColumn id="9" xr3:uid="{00000000-0010-0000-0D00-000009000000}" name="f09_expected_result"/>
    <tableColumn id="10" xr3:uid="{00000000-0010-0000-0D00-00000A000000}" name="f10_observed_result"/>
    <tableColumn id="11" xr3:uid="{00000000-0010-0000-0D00-00000B000000}" name="f11_evidence_files"/>
    <tableColumn id="12" xr3:uid="{00000000-0010-0000-0D00-00000C000000}" name="f12_evaluator"/>
    <tableColumn id="13" xr3:uid="{00000000-0010-0000-0D00-00000D000000}" name="f13_previous_check"/>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og_issues" displayName="og_issues" ref="A6:M12" totalsRowShown="0">
  <tableColumns count="13">
    <tableColumn id="1" xr3:uid="{00000000-0010-0000-0E00-000001000000}" name="f01_name"/>
    <tableColumn id="2" xr3:uid="{00000000-0010-0000-0E00-000002000000}" name="f02_description"/>
    <tableColumn id="3" xr3:uid="{00000000-0010-0000-0E00-000003000000}" name="f03_record_id"/>
    <tableColumn id="4" xr3:uid="{00000000-0010-0000-0E00-000004000000}" name="f04_project"/>
    <tableColumn id="5" xr3:uid="{00000000-0010-0000-0E00-000005000000}" name="f05_origin_check"/>
    <tableColumn id="6" xr3:uid="{00000000-0010-0000-0E00-000006000000}" name="f06_affected_revisions"/>
    <tableColumn id="7" xr3:uid="{00000000-0010-0000-0E00-000007000000}" name="f07_owning_pass"/>
    <tableColumn id="8" xr3:uid="{00000000-0010-0000-0E00-000008000000}" name="f08_issue_kind"/>
    <tableColumn id="9" xr3:uid="{00000000-0010-0000-0E00-000009000000}" name="f09_severity"/>
    <tableColumn id="10" xr3:uid="{00000000-0010-0000-0E00-00000A000000}" name="f10_issue_state"/>
    <tableColumn id="11" xr3:uid="{00000000-0010-0000-0E00-00000B000000}" name="f11_repair_run"/>
    <tableColumn id="12" xr3:uid="{00000000-0010-0000-0E00-00000C000000}" name="f12_resolution"/>
    <tableColumn id="13" xr3:uid="{00000000-0010-0000-0E00-00000D000000}" name="f13_rechecks"/>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og_approvals" displayName="og_approvals" ref="A6:L9" totalsRowShown="0">
  <tableColumns count="12">
    <tableColumn id="1" xr3:uid="{00000000-0010-0000-0F00-000001000000}" name="f01_name"/>
    <tableColumn id="2" xr3:uid="{00000000-0010-0000-0F00-000002000000}" name="f02_description"/>
    <tableColumn id="3" xr3:uid="{00000000-0010-0000-0F00-000003000000}" name="f03_record_id"/>
    <tableColumn id="4" xr3:uid="{00000000-0010-0000-0F00-000004000000}" name="f04_target_revision"/>
    <tableColumn id="5" xr3:uid="{00000000-0010-0000-0F00-000005000000}" name="f05_review_run"/>
    <tableColumn id="6" xr3:uid="{00000000-0010-0000-0F00-000006000000}" name="f06_decision"/>
    <tableColumn id="7" xr3:uid="{00000000-0010-0000-0F00-000007000000}" name="f07_decision_maker"/>
    <tableColumn id="8" xr3:uid="{00000000-0010-0000-0F00-000008000000}" name="f08_decision_evidence"/>
    <tableColumn id="9" xr3:uid="{00000000-0010-0000-0F00-000009000000}" name="f09_reviewed_checks"/>
    <tableColumn id="10" xr3:uid="{00000000-0010-0000-0F00-00000A000000}" name="f10_related_issues"/>
    <tableColumn id="11" xr3:uid="{00000000-0010-0000-0F00-00000B000000}" name="f11_supersedes_decision"/>
    <tableColumn id="12" xr3:uid="{00000000-0010-0000-0F00-00000C000000}" name="f12_evidence_origi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og_releases" displayName="og_releases" ref="A6:L9" totalsRowShown="0">
  <tableColumns count="12">
    <tableColumn id="1" xr3:uid="{00000000-0010-0000-1000-000001000000}" name="f01_name"/>
    <tableColumn id="2" xr3:uid="{00000000-0010-0000-1000-000002000000}" name="f02_description"/>
    <tableColumn id="3" xr3:uid="{00000000-0010-0000-1000-000003000000}" name="f03_record_id"/>
    <tableColumn id="4" xr3:uid="{00000000-0010-0000-1000-000004000000}" name="f04_revision"/>
    <tableColumn id="5" xr3:uid="{00000000-0010-0000-1000-000005000000}" name="f05_release_kind"/>
    <tableColumn id="6" xr3:uid="{00000000-0010-0000-1000-000006000000}" name="f06_primary_file"/>
    <tableColumn id="7" xr3:uid="{00000000-0010-0000-1000-000007000000}" name="f07_included_revisions"/>
    <tableColumn id="8" xr3:uid="{00000000-0010-0000-1000-000008000000}" name="f08_package_file"/>
    <tableColumn id="9" xr3:uid="{00000000-0010-0000-1000-000009000000}" name="f09_release_checks"/>
    <tableColumn id="10" xr3:uid="{00000000-0010-0000-1000-00000A000000}" name="f10_known_issues"/>
    <tableColumn id="11" xr3:uid="{00000000-0010-0000-1000-00000B000000}" name="f11_release_notes"/>
    <tableColumn id="12" xr3:uid="{00000000-0010-0000-1000-00000C000000}" name="f12_release_readiness"/>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og_table_dictionary" displayName="og_table_dictionary" ref="A6:L39" totalsRowShown="0">
  <tableColumns count="12">
    <tableColumn id="1" xr3:uid="{00000000-0010-0000-1100-000001000000}" name="f01_name"/>
    <tableColumn id="2" xr3:uid="{00000000-0010-0000-1100-000002000000}" name="f02_description"/>
    <tableColumn id="3" xr3:uid="{00000000-0010-0000-1100-000003000000}" name="f03_record_id"/>
    <tableColumn id="4" xr3:uid="{00000000-0010-0000-1100-000004000000}" name="f04_symbol"/>
    <tableColumn id="5" xr3:uid="{00000000-0010-0000-1100-000005000000}" name="f05_machine_name"/>
    <tableColumn id="6" xr3:uid="{00000000-0010-0000-1100-000006000000}" name="f06_table_order"/>
    <tableColumn id="7" xr3:uid="{00000000-0010-0000-1100-000007000000}" name="f07_record_meaning"/>
    <tableColumn id="8" xr3:uid="{00000000-0010-0000-1100-000008000000}" name="f08_identity_rule"/>
    <tableColumn id="9" xr3:uid="{00000000-0010-0000-1100-000009000000}" name="f09_revision_rule"/>
    <tableColumn id="10" xr3:uid="{00000000-0010-0000-1100-00000A000000}" name="f10_traversal_rules"/>
    <tableColumn id="11" xr3:uid="{00000000-0010-0000-1100-00000B000000}" name="f11_clone_rule"/>
    <tableColumn id="12" xr3:uid="{00000000-0010-0000-1100-00000C000000}" name="f12_instructions"/>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og_field_dictionary" displayName="og_field_dictionary" ref="A6:P388" totalsRowShown="0">
  <tableColumns count="16">
    <tableColumn id="1" xr3:uid="{00000000-0010-0000-1200-000001000000}" name="f01_name"/>
    <tableColumn id="2" xr3:uid="{00000000-0010-0000-1200-000002000000}" name="f02_description"/>
    <tableColumn id="3" xr3:uid="{00000000-0010-0000-1200-000003000000}" name="f03_record_id"/>
    <tableColumn id="4" xr3:uid="{00000000-0010-0000-1200-000004000000}" name="f04_table"/>
    <tableColumn id="5" xr3:uid="{00000000-0010-0000-1200-000005000000}" name="f05_field_number"/>
    <tableColumn id="6" xr3:uid="{00000000-0010-0000-1200-000006000000}" name="f06_machine_name"/>
    <tableColumn id="7" xr3:uid="{00000000-0010-0000-1200-000007000000}" name="f07_field_type"/>
    <tableColumn id="8" xr3:uid="{00000000-0010-0000-1200-000008000000}" name="f08_required_when"/>
    <tableColumn id="9" xr3:uid="{00000000-0010-0000-1200-000009000000}" name="f09_allowed_values"/>
    <tableColumn id="10" xr3:uid="{00000000-0010-0000-1200-00000A000000}" name="f10_linked_table"/>
    <tableColumn id="11" xr3:uid="{00000000-0010-0000-1200-00000B000000}" name="f11_minimum_links"/>
    <tableColumn id="12" xr3:uid="{00000000-0010-0000-1200-00000C000000}" name="f12_maximum_links"/>
    <tableColumn id="13" xr3:uid="{00000000-0010-0000-1200-00000D000000}" name="f13_derivation"/>
    <tableColumn id="14" xr3:uid="{00000000-0010-0000-1200-00000E000000}" name="f14_validation_rule"/>
    <tableColumn id="15" xr3:uid="{00000000-0010-0000-1200-00000F000000}" name="f15_instructions"/>
    <tableColumn id="16" xr3:uid="{00000000-0010-0000-1200-000010000000}" name="f16_clone_rule"/>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og_source_support" displayName="og_source_support" ref="A6:I38" totalsRowShown="0">
  <tableColumns count="9">
    <tableColumn id="1" xr3:uid="{00000000-0010-0000-1300-000001000000}" name="f01_name"/>
    <tableColumn id="2" xr3:uid="{00000000-0010-0000-1300-000002000000}" name="f02_description"/>
    <tableColumn id="3" xr3:uid="{00000000-0010-0000-1300-000003000000}" name="f03_record_id"/>
    <tableColumn id="4" xr3:uid="{00000000-0010-0000-1300-000004000000}" name="f04_source"/>
    <tableColumn id="5" xr3:uid="{00000000-0010-0000-1300-000005000000}" name="f05_content_item"/>
    <tableColumn id="6" xr3:uid="{00000000-0010-0000-1300-000006000000}" name="f06_source_locator"/>
    <tableColumn id="7" xr3:uid="{00000000-0010-0000-1300-000007000000}" name="f07_supported_statement"/>
    <tableColumn id="8" xr3:uid="{00000000-0010-0000-1300-000008000000}" name="f08_support_kind"/>
    <tableColumn id="9" xr3:uid="{00000000-0010-0000-1300-000009000000}" name="f09_qualification"/>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og_figure_coverage" displayName="og_figure_coverage" ref="A6:G21" totalsRowShown="0">
  <tableColumns count="7">
    <tableColumn id="1" xr3:uid="{00000000-0010-0000-1400-000001000000}" name="f01_name"/>
    <tableColumn id="2" xr3:uid="{00000000-0010-0000-1400-000002000000}" name="f02_description"/>
    <tableColumn id="3" xr3:uid="{00000000-0010-0000-1400-000003000000}" name="f03_record_id"/>
    <tableColumn id="4" xr3:uid="{00000000-0010-0000-1400-000004000000}" name="f04_figure_contract"/>
    <tableColumn id="5" xr3:uid="{00000000-0010-0000-1400-000005000000}" name="f05_content_item"/>
    <tableColumn id="6" xr3:uid="{00000000-0010-0000-1400-000006000000}" name="f06_explanatory_role"/>
    <tableColumn id="7" xr3:uid="{00000000-0010-0000-1400-000007000000}" name="f07_coverage_criterion"/>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og_figure_requirements" displayName="og_figure_requirements" ref="A6:I65" totalsRowShown="0">
  <tableColumns count="9">
    <tableColumn id="1" xr3:uid="{00000000-0010-0000-1500-000001000000}" name="f01_name"/>
    <tableColumn id="2" xr3:uid="{00000000-0010-0000-1500-000002000000}" name="f02_description"/>
    <tableColumn id="3" xr3:uid="{00000000-0010-0000-1500-000003000000}" name="f03_record_id"/>
    <tableColumn id="4" xr3:uid="{00000000-0010-0000-1500-000004000000}" name="f04_figure_contract"/>
    <tableColumn id="5" xr3:uid="{00000000-0010-0000-1500-000005000000}" name="f05_asset_requirement"/>
    <tableColumn id="6" xr3:uid="{00000000-0010-0000-1500-000006000000}" name="f06_usage_role"/>
    <tableColumn id="7" xr3:uid="{00000000-0010-0000-1500-000007000000}" name="f07_minimum_quantity"/>
    <tableColumn id="8" xr3:uid="{00000000-0010-0000-1500-000008000000}" name="f08_maximum_quantity"/>
    <tableColumn id="9" xr3:uid="{00000000-0010-0000-1500-000009000000}" name="f09_application_instructions"/>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og_requirement_fulfillment" displayName="og_requirement_fulfillment" ref="A6:I35" totalsRowShown="0">
  <tableColumns count="9">
    <tableColumn id="1" xr3:uid="{00000000-0010-0000-1600-000001000000}" name="f01_name"/>
    <tableColumn id="2" xr3:uid="{00000000-0010-0000-1600-000002000000}" name="f02_description"/>
    <tableColumn id="3" xr3:uid="{00000000-0010-0000-1600-000003000000}" name="f03_record_id"/>
    <tableColumn id="4" xr3:uid="{00000000-0010-0000-1600-000004000000}" name="f04_asset_requirement"/>
    <tableColumn id="5" xr3:uid="{00000000-0010-0000-1600-000005000000}" name="f05_file_revision"/>
    <tableColumn id="6" xr3:uid="{00000000-0010-0000-1600-000006000000}" name="f06_selection_state"/>
    <tableColumn id="7" xr3:uid="{00000000-0010-0000-1600-000007000000}" name="f07_fulfillment_checks"/>
    <tableColumn id="8" xr3:uid="{00000000-0010-0000-1600-000008000000}" name="f08_selection_rationale"/>
    <tableColumn id="9" xr3:uid="{00000000-0010-0000-1600-000009000000}" name="f09_use_instructions"/>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og_run_artifacts" displayName="og_run_artifacts" ref="A6:J270" totalsRowShown="0">
  <tableColumns count="10">
    <tableColumn id="1" xr3:uid="{00000000-0010-0000-1700-000001000000}" name="f01_name"/>
    <tableColumn id="2" xr3:uid="{00000000-0010-0000-1700-000002000000}" name="f02_description"/>
    <tableColumn id="3" xr3:uid="{00000000-0010-0000-1700-000003000000}" name="f03_record_id"/>
    <tableColumn id="4" xr3:uid="{00000000-0010-0000-1700-000004000000}" name="f04_pass_run"/>
    <tableColumn id="5" xr3:uid="{00000000-0010-0000-1700-000005000000}" name="f05_artifact_revision"/>
    <tableColumn id="6" xr3:uid="{00000000-0010-0000-1700-000006000000}" name="f06_direction"/>
    <tableColumn id="7" xr3:uid="{00000000-0010-0000-1700-000007000000}" name="f07_slot"/>
    <tableColumn id="8" xr3:uid="{00000000-0010-0000-1700-000008000000}" name="f08_slot_order"/>
    <tableColumn id="9" xr3:uid="{00000000-0010-0000-1700-000009000000}" name="f09_input_approval"/>
    <tableColumn id="10" xr3:uid="{00000000-0010-0000-1700-00000A000000}" name="f10_handoff_notes"/>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og_document_plans" displayName="og_document_plans" ref="A6:J9" totalsRowShown="0">
  <tableColumns count="10">
    <tableColumn id="1" xr3:uid="{00000000-0010-0000-1800-000001000000}" name="f01_name"/>
    <tableColumn id="2" xr3:uid="{00000000-0010-0000-1800-000002000000}" name="f02_description"/>
    <tableColumn id="3" xr3:uid="{00000000-0010-0000-1800-000003000000}" name="f03_record_id"/>
    <tableColumn id="4" xr3:uid="{00000000-0010-0000-1800-000004000000}" name="f04_revision"/>
    <tableColumn id="5" xr3:uid="{00000000-0010-0000-1800-000005000000}" name="f05_project"/>
    <tableColumn id="6" xr3:uid="{00000000-0010-0000-1800-000006000000}" name="f06_template"/>
    <tableColumn id="7" xr3:uid="{00000000-0010-0000-1800-000007000000}" name="f07_ruleset"/>
    <tableColumn id="8" xr3:uid="{00000000-0010-0000-1800-000008000000}" name="f08_theme"/>
    <tableColumn id="9" xr3:uid="{00000000-0010-0000-1800-000009000000}" name="f09_spine_instructions"/>
    <tableColumn id="10" xr3:uid="{00000000-0010-0000-1800-00000A000000}" name="f10_candidate_file"/>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og_templates" displayName="og_templates" ref="A6:J9" totalsRowShown="0">
  <tableColumns count="10">
    <tableColumn id="1" xr3:uid="{00000000-0010-0000-1900-000001000000}" name="f01_name"/>
    <tableColumn id="2" xr3:uid="{00000000-0010-0000-1900-000002000000}" name="f02_description"/>
    <tableColumn id="3" xr3:uid="{00000000-0010-0000-1900-000003000000}" name="f03_record_id"/>
    <tableColumn id="4" xr3:uid="{00000000-0010-0000-1900-000004000000}" name="f04_revision"/>
    <tableColumn id="5" xr3:uid="{00000000-0010-0000-1900-000005000000}" name="f05_output_kind"/>
    <tableColumn id="6" xr3:uid="{00000000-0010-0000-1900-000006000000}" name="f06_assembly_instructions"/>
    <tableColumn id="7" xr3:uid="{00000000-0010-0000-1900-000007000000}" name="f07_default_ruleset"/>
    <tableColumn id="8" xr3:uid="{00000000-0010-0000-1900-000008000000}" name="f08_default_theme"/>
    <tableColumn id="9" xr3:uid="{00000000-0010-0000-1900-000009000000}" name="f09_fit_policy"/>
    <tableColumn id="10" xr3:uid="{00000000-0010-0000-1900-00000A000000}" name="f10_renderer_contract"/>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og_template_slots" displayName="og_template_slots" ref="A6:M9" totalsRowShown="0">
  <tableColumns count="13">
    <tableColumn id="1" xr3:uid="{00000000-0010-0000-1A00-000001000000}" name="f01_name"/>
    <tableColumn id="2" xr3:uid="{00000000-0010-0000-1A00-000002000000}" name="f02_description"/>
    <tableColumn id="3" xr3:uid="{00000000-0010-0000-1A00-000003000000}" name="f03_record_id"/>
    <tableColumn id="4" xr3:uid="{00000000-0010-0000-1A00-000004000000}" name="f04_revision"/>
    <tableColumn id="5" xr3:uid="{00000000-0010-0000-1A00-000005000000}" name="f05_template"/>
    <tableColumn id="6" xr3:uid="{00000000-0010-0000-1A00-000006000000}" name="f06_slot_role"/>
    <tableColumn id="7" xr3:uid="{00000000-0010-0000-1A00-000007000000}" name="f07_spine_type"/>
    <tableColumn id="8" xr3:uid="{00000000-0010-0000-1A00-000008000000}" name="f08_region"/>
    <tableColumn id="9" xr3:uid="{00000000-0010-0000-1A00-000009000000}" name="f09_presence"/>
    <tableColumn id="10" xr3:uid="{00000000-0010-0000-1A00-00000A000000}" name="f10_geometry"/>
    <tableColumn id="11" xr3:uid="{00000000-0010-0000-1A00-00000B000000}" name="f11_style_instructions"/>
    <tableColumn id="12" xr3:uid="{00000000-0010-0000-1A00-00000C000000}" name="f12_overflow_rule"/>
    <tableColumn id="13" xr3:uid="{00000000-0010-0000-1A00-00000D000000}" name="f13_allowed_file_types"/>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og_rulesets" displayName="og_rulesets" ref="A6:G9" totalsRowShown="0">
  <tableColumns count="7">
    <tableColumn id="1" xr3:uid="{00000000-0010-0000-1B00-000001000000}" name="f01_name"/>
    <tableColumn id="2" xr3:uid="{00000000-0010-0000-1B00-000002000000}" name="f02_description"/>
    <tableColumn id="3" xr3:uid="{00000000-0010-0000-1B00-000003000000}" name="f03_record_id"/>
    <tableColumn id="4" xr3:uid="{00000000-0010-0000-1B00-000004000000}" name="f04_revision"/>
    <tableColumn id="5" xr3:uid="{00000000-0010-0000-1B00-000005000000}" name="f05_rules"/>
    <tableColumn id="6" xr3:uid="{00000000-0010-0000-1B00-000006000000}" name="f06_conflict_policy"/>
    <tableColumn id="7" xr3:uid="{00000000-0010-0000-1B00-000007000000}" name="f07_application_instructions"/>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og_rules" displayName="og_rules" ref="A6:K9" totalsRowShown="0">
  <tableColumns count="11">
    <tableColumn id="1" xr3:uid="{00000000-0010-0000-1C00-000001000000}" name="f01_name"/>
    <tableColumn id="2" xr3:uid="{00000000-0010-0000-1C00-000002000000}" name="f02_description"/>
    <tableColumn id="3" xr3:uid="{00000000-0010-0000-1C00-000003000000}" name="f03_record_id"/>
    <tableColumn id="4" xr3:uid="{00000000-0010-0000-1C00-000004000000}" name="f04_revision"/>
    <tableColumn id="5" xr3:uid="{00000000-0010-0000-1C00-000005000000}" name="f05_rule_kind"/>
    <tableColumn id="6" xr3:uid="{00000000-0010-0000-1C00-000006000000}" name="f06_condition"/>
    <tableColumn id="7" xr3:uid="{00000000-0010-0000-1C00-000007000000}" name="f07_requirement"/>
    <tableColumn id="8" xr3:uid="{00000000-0010-0000-1C00-000008000000}" name="f08_exclusions"/>
    <tableColumn id="9" xr3:uid="{00000000-0010-0000-1C00-000009000000}" name="f09_priority"/>
    <tableColumn id="10" xr3:uid="{00000000-0010-0000-1C00-00000A000000}" name="f10_repair_instruction"/>
    <tableColumn id="11" xr3:uid="{00000000-0010-0000-1C00-00000B000000}" name="f11_check_instruction"/>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og_themes" displayName="og_themes" ref="A6:J9" totalsRowShown="0">
  <tableColumns count="10">
    <tableColumn id="1" xr3:uid="{00000000-0010-0000-1D00-000001000000}" name="f01_name"/>
    <tableColumn id="2" xr3:uid="{00000000-0010-0000-1D00-000002000000}" name="f02_description"/>
    <tableColumn id="3" xr3:uid="{00000000-0010-0000-1D00-000003000000}" name="f03_record_id"/>
    <tableColumn id="4" xr3:uid="{00000000-0010-0000-1D00-000004000000}" name="f04_revision"/>
    <tableColumn id="5" xr3:uid="{00000000-0010-0000-1D00-000005000000}" name="f05_include"/>
    <tableColumn id="6" xr3:uid="{00000000-0010-0000-1D00-000006000000}" name="f06_exclude"/>
    <tableColumn id="7" xr3:uid="{00000000-0010-0000-1D00-000007000000}" name="f07_apply_to_generation"/>
    <tableColumn id="8" xr3:uid="{00000000-0010-0000-1D00-000008000000}" name="f08_added_details"/>
    <tableColumn id="9" xr3:uid="{00000000-0010-0000-1D00-000009000000}" name="f09_visual_vocabulary"/>
    <tableColumn id="10" xr3:uid="{00000000-0010-0000-1D00-00000A000000}" name="f10_conflict_policy"/>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og_assembly_components" displayName="og_assembly_components" ref="A6:O9" totalsRowShown="0">
  <tableColumns count="15">
    <tableColumn id="1" xr3:uid="{00000000-0010-0000-1E00-000001000000}" name="f01_name"/>
    <tableColumn id="2" xr3:uid="{00000000-0010-0000-1E00-000002000000}" name="f02_description"/>
    <tableColumn id="3" xr3:uid="{00000000-0010-0000-1E00-000003000000}" name="f03_record_id"/>
    <tableColumn id="4" xr3:uid="{00000000-0010-0000-1E00-000004000000}" name="f04_revision"/>
    <tableColumn id="5" xr3:uid="{00000000-0010-0000-1E00-000005000000}" name="f05_assembly_file"/>
    <tableColumn id="6" xr3:uid="{00000000-0010-0000-1E00-000006000000}" name="f06_component_file"/>
    <tableColumn id="7" xr3:uid="{00000000-0010-0000-1E00-000007000000}" name="f07_usage_role"/>
    <tableColumn id="8" xr3:uid="{00000000-0010-0000-1E00-000008000000}" name="f08_layer_order"/>
    <tableColumn id="9" xr3:uid="{00000000-0010-0000-1E00-000009000000}" name="f09_transform_json"/>
    <tableColumn id="10" xr3:uid="{00000000-0010-0000-1E00-00000A000000}" name="f10_coordinate_convention"/>
    <tableColumn id="11" xr3:uid="{00000000-0010-0000-1E00-00000B000000}" name="f11_blend_rule"/>
    <tableColumn id="12" xr3:uid="{00000000-0010-0000-1E00-00000C000000}" name="f12_identity_treatment"/>
    <tableColumn id="13" xr3:uid="{00000000-0010-0000-1E00-00000D000000}" name="f13_build_instructions"/>
    <tableColumn id="14" xr3:uid="{00000000-0010-0000-1E00-00000E000000}" name="f14_component_state"/>
    <tableColumn id="15" xr3:uid="{00000000-0010-0000-1E00-00000F000000}" name="f15_readiness"/>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og_generation_requests" displayName="og_generation_requests" ref="A6:N9" totalsRowShown="0">
  <tableColumns count="14">
    <tableColumn id="1" xr3:uid="{00000000-0010-0000-1F00-000001000000}" name="f01_name"/>
    <tableColumn id="2" xr3:uid="{00000000-0010-0000-1F00-000002000000}" name="f02_description"/>
    <tableColumn id="3" xr3:uid="{00000000-0010-0000-1F00-000003000000}" name="f03_record_id"/>
    <tableColumn id="4" xr3:uid="{00000000-0010-0000-1F00-000004000000}" name="f04_revision"/>
    <tableColumn id="5" xr3:uid="{00000000-0010-0000-1F00-000005000000}" name="f05_project"/>
    <tableColumn id="6" xr3:uid="{00000000-0010-0000-1F00-000006000000}" name="f06_asset_requirement"/>
    <tableColumn id="7" xr3:uid="{00000000-0010-0000-1F00-000007000000}" name="f07_ruleset"/>
    <tableColumn id="8" xr3:uid="{00000000-0010-0000-1F00-000008000000}" name="f08_theme"/>
    <tableColumn id="9" xr3:uid="{00000000-0010-0000-1F00-000009000000}" name="f09_local_requirement"/>
    <tableColumn id="10" xr3:uid="{00000000-0010-0000-1F00-00000A000000}" name="f10_compiled_readback"/>
    <tableColumn id="11" xr3:uid="{00000000-0010-0000-1F00-00000B000000}" name="f11_readback_sources"/>
    <tableColumn id="12" xr3:uid="{00000000-0010-0000-1F00-00000C000000}" name="f12_execution_state"/>
    <tableColumn id="13" xr3:uid="{00000000-0010-0000-1F00-00000D000000}" name="f13_result_files"/>
    <tableColumn id="14" xr3:uid="{00000000-0010-0000-1F00-00000E000000}" name="f14_repair_notes"/>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og_asset_lifecycle" displayName="og_asset_lifecycle" ref="A6:J9" totalsRowShown="0">
  <tableColumns count="10">
    <tableColumn id="1" xr3:uid="{00000000-0010-0000-2000-000001000000}" name="f01_name"/>
    <tableColumn id="2" xr3:uid="{00000000-0010-0000-2000-000002000000}" name="f02_description"/>
    <tableColumn id="3" xr3:uid="{00000000-0010-0000-2000-000003000000}" name="f03_record_id"/>
    <tableColumn id="4" xr3:uid="{00000000-0010-0000-2000-000004000000}" name="f04_project"/>
    <tableColumn id="5" xr3:uid="{00000000-0010-0000-2000-000005000000}" name="f05_file_revision"/>
    <tableColumn id="6" xr3:uid="{00000000-0010-0000-2000-000006000000}" name="f06_disposition"/>
    <tableColumn id="7" xr3:uid="{00000000-0010-0000-2000-000007000000}" name="f07_reason"/>
    <tableColumn id="8" xr3:uid="{00000000-0010-0000-2000-000008000000}" name="f08_destination"/>
    <tableColumn id="9" xr3:uid="{00000000-0010-0000-2000-000009000000}" name="f09_persistent_identity"/>
    <tableColumn id="10" xr3:uid="{00000000-0010-0000-2000-00000A000000}" name="f10_previous_event"/>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table" Target="../tables/table1.xml" /></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 /></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 /></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 /></Relationships>
</file>

<file path=xl/worksheets/_rels/sheet8.xml.rels><?xml version="1.0" encoding="UTF-8" standalone="yes"?>
<Relationships xmlns="http://schemas.openxmlformats.org/package/2006/relationships"><Relationship Id="rId1" Type="http://schemas.openxmlformats.org/officeDocument/2006/relationships/table" Target="../tables/table5.xml" /></Relationships>
</file>

<file path=xl/worksheets/_rels/sheet9.xml.rels><?xml version="1.0" encoding="UTF-8" standalone="yes"?>
<Relationships xmlns="http://schemas.openxmlformats.org/package/2006/relationships"><Relationship Id="rId1" Type="http://schemas.openxmlformats.org/officeDocument/2006/relationships/table" Target="../tables/table6.xml" /></Relationships>
</file>

<file path=xl/worksheets/_rels/sheet10.xml.rels><?xml version="1.0" encoding="UTF-8" standalone="yes"?>
<Relationships xmlns="http://schemas.openxmlformats.org/package/2006/relationships"><Relationship Id="rId1" Type="http://schemas.openxmlformats.org/officeDocument/2006/relationships/table" Target="../tables/table7.xml" /></Relationships>
</file>

<file path=xl/worksheets/_rels/sheet11.xml.rels><?xml version="1.0" encoding="UTF-8" standalone="yes"?>
<Relationships xmlns="http://schemas.openxmlformats.org/package/2006/relationships"><Relationship Id="rId1" Type="http://schemas.openxmlformats.org/officeDocument/2006/relationships/table" Target="../tables/table8.xml" /></Relationships>
</file>

<file path=xl/worksheets/_rels/sheet12.xml.rels><?xml version="1.0" encoding="UTF-8" standalone="yes"?>
<Relationships xmlns="http://schemas.openxmlformats.org/package/2006/relationships"><Relationship Id="rId1" Type="http://schemas.openxmlformats.org/officeDocument/2006/relationships/table" Target="../tables/table9.xml" /></Relationships>
</file>

<file path=xl/worksheets/_rels/sheet13.xml.rels><?xml version="1.0" encoding="UTF-8" standalone="yes"?>
<Relationships xmlns="http://schemas.openxmlformats.org/package/2006/relationships"><Relationship Id="rId1" Type="http://schemas.openxmlformats.org/officeDocument/2006/relationships/table" Target="../tables/table10.xml" /></Relationships>
</file>

<file path=xl/worksheets/_rels/sheet14.xml.rels><?xml version="1.0" encoding="UTF-8" standalone="yes"?>
<Relationships xmlns="http://schemas.openxmlformats.org/package/2006/relationships"><Relationship Id="rId1" Type="http://schemas.openxmlformats.org/officeDocument/2006/relationships/table" Target="../tables/table11.xml" /></Relationships>
</file>

<file path=xl/worksheets/_rels/sheet15.xml.rels><?xml version="1.0" encoding="UTF-8" standalone="yes"?>
<Relationships xmlns="http://schemas.openxmlformats.org/package/2006/relationships"><Relationship Id="rId1" Type="http://schemas.openxmlformats.org/officeDocument/2006/relationships/table" Target="../tables/table12.xml" /></Relationships>
</file>

<file path=xl/worksheets/_rels/sheet16.xml.rels><?xml version="1.0" encoding="UTF-8" standalone="yes"?>
<Relationships xmlns="http://schemas.openxmlformats.org/package/2006/relationships"><Relationship Id="rId1" Type="http://schemas.openxmlformats.org/officeDocument/2006/relationships/table" Target="../tables/table13.xml" /></Relationships>
</file>

<file path=xl/worksheets/_rels/sheet17.xml.rels><?xml version="1.0" encoding="UTF-8" standalone="yes"?>
<Relationships xmlns="http://schemas.openxmlformats.org/package/2006/relationships"><Relationship Id="rId1" Type="http://schemas.openxmlformats.org/officeDocument/2006/relationships/table" Target="../tables/table14.xml" /></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 /></Relationships>
</file>

<file path=xl/worksheets/_rels/sheet19.xml.rels><?xml version="1.0" encoding="UTF-8" standalone="yes"?>
<Relationships xmlns="http://schemas.openxmlformats.org/package/2006/relationships"><Relationship Id="rId1" Type="http://schemas.openxmlformats.org/officeDocument/2006/relationships/table" Target="../tables/table16.xml" /></Relationships>
</file>

<file path=xl/worksheets/_rels/sheet20.xml.rels><?xml version="1.0" encoding="UTF-8" standalone="yes"?>
<Relationships xmlns="http://schemas.openxmlformats.org/package/2006/relationships"><Relationship Id="rId1" Type="http://schemas.openxmlformats.org/officeDocument/2006/relationships/table" Target="../tables/table17.xml" /></Relationships>
</file>

<file path=xl/worksheets/_rels/sheet21.xml.rels><?xml version="1.0" encoding="UTF-8" standalone="yes"?>
<Relationships xmlns="http://schemas.openxmlformats.org/package/2006/relationships"><Relationship Id="rId1" Type="http://schemas.openxmlformats.org/officeDocument/2006/relationships/table" Target="../tables/table18.xml" /></Relationships>
</file>

<file path=xl/worksheets/_rels/sheet22.xml.rels><?xml version="1.0" encoding="UTF-8" standalone="yes"?>
<Relationships xmlns="http://schemas.openxmlformats.org/package/2006/relationships"><Relationship Id="rId1" Type="http://schemas.openxmlformats.org/officeDocument/2006/relationships/table" Target="../tables/table19.xml" /></Relationships>
</file>

<file path=xl/worksheets/_rels/sheet23.xml.rels><?xml version="1.0" encoding="UTF-8" standalone="yes"?>
<Relationships xmlns="http://schemas.openxmlformats.org/package/2006/relationships"><Relationship Id="rId1" Type="http://schemas.openxmlformats.org/officeDocument/2006/relationships/table" Target="../tables/table20.xml" /></Relationships>
</file>

<file path=xl/worksheets/_rels/sheet24.xml.rels><?xml version="1.0" encoding="UTF-8" standalone="yes"?>
<Relationships xmlns="http://schemas.openxmlformats.org/package/2006/relationships"><Relationship Id="rId1" Type="http://schemas.openxmlformats.org/officeDocument/2006/relationships/table" Target="../tables/table21.xml" /></Relationships>
</file>

<file path=xl/worksheets/_rels/sheet25.xml.rels><?xml version="1.0" encoding="UTF-8" standalone="yes"?>
<Relationships xmlns="http://schemas.openxmlformats.org/package/2006/relationships"><Relationship Id="rId1" Type="http://schemas.openxmlformats.org/officeDocument/2006/relationships/table" Target="../tables/table22.xml" /></Relationships>
</file>

<file path=xl/worksheets/_rels/sheet26.xml.rels><?xml version="1.0" encoding="UTF-8" standalone="yes"?>
<Relationships xmlns="http://schemas.openxmlformats.org/package/2006/relationships"><Relationship Id="rId1" Type="http://schemas.openxmlformats.org/officeDocument/2006/relationships/table" Target="../tables/table23.xml" /></Relationships>
</file>

<file path=xl/worksheets/_rels/sheet27.xml.rels><?xml version="1.0" encoding="UTF-8" standalone="yes"?>
<Relationships xmlns="http://schemas.openxmlformats.org/package/2006/relationships"><Relationship Id="rId1" Type="http://schemas.openxmlformats.org/officeDocument/2006/relationships/table" Target="../tables/table24.xml" /></Relationships>
</file>

<file path=xl/worksheets/_rels/sheet28.xml.rels><?xml version="1.0" encoding="UTF-8" standalone="yes"?>
<Relationships xmlns="http://schemas.openxmlformats.org/package/2006/relationships"><Relationship Id="rId1" Type="http://schemas.openxmlformats.org/officeDocument/2006/relationships/table" Target="../tables/table25.xml" /></Relationships>
</file>

<file path=xl/worksheets/_rels/sheet29.xml.rels><?xml version="1.0" encoding="UTF-8" standalone="yes"?>
<Relationships xmlns="http://schemas.openxmlformats.org/package/2006/relationships"><Relationship Id="rId1" Type="http://schemas.openxmlformats.org/officeDocument/2006/relationships/table" Target="../tables/table26.xml" /></Relationships>
</file>

<file path=xl/worksheets/_rels/sheet30.xml.rels><?xml version="1.0" encoding="UTF-8" standalone="yes"?>
<Relationships xmlns="http://schemas.openxmlformats.org/package/2006/relationships"><Relationship Id="rId1" Type="http://schemas.openxmlformats.org/officeDocument/2006/relationships/table" Target="../tables/table27.xml" /></Relationships>
</file>

<file path=xl/worksheets/_rels/sheet31.xml.rels><?xml version="1.0" encoding="UTF-8" standalone="yes"?>
<Relationships xmlns="http://schemas.openxmlformats.org/package/2006/relationships"><Relationship Id="rId1" Type="http://schemas.openxmlformats.org/officeDocument/2006/relationships/table" Target="../tables/table28.xml" /></Relationships>
</file>

<file path=xl/worksheets/_rels/sheet32.xml.rels><?xml version="1.0" encoding="UTF-8" standalone="yes"?>
<Relationships xmlns="http://schemas.openxmlformats.org/package/2006/relationships"><Relationship Id="rId1" Type="http://schemas.openxmlformats.org/officeDocument/2006/relationships/table" Target="../tables/table29.xml" /></Relationships>
</file>

<file path=xl/worksheets/_rels/sheet33.xml.rels><?xml version="1.0" encoding="UTF-8" standalone="yes"?>
<Relationships xmlns="http://schemas.openxmlformats.org/package/2006/relationships"><Relationship Id="rId1" Type="http://schemas.openxmlformats.org/officeDocument/2006/relationships/table" Target="../tables/table30.xml" /></Relationships>
</file>

<file path=xl/worksheets/_rels/sheet34.xml.rels><?xml version="1.0" encoding="UTF-8" standalone="yes"?>
<Relationships xmlns="http://schemas.openxmlformats.org/package/2006/relationships"><Relationship Id="rId1" Type="http://schemas.openxmlformats.org/officeDocument/2006/relationships/table" Target="../tables/table31.xml" /></Relationships>
</file>

<file path=xl/worksheets/_rels/sheet35.xml.rels><?xml version="1.0" encoding="UTF-8" standalone="yes"?>
<Relationships xmlns="http://schemas.openxmlformats.org/package/2006/relationships"><Relationship Id="rId1" Type="http://schemas.openxmlformats.org/officeDocument/2006/relationships/table" Target="../tables/table32.xml" /></Relationships>
</file>

<file path=xl/worksheets/_rels/sheet36.xml.rels><?xml version="1.0" encoding="UTF-8" standalone="yes"?>
<Relationships xmlns="http://schemas.openxmlformats.org/package/2006/relationships"><Relationship Id="rId1" Type="http://schemas.openxmlformats.org/officeDocument/2006/relationships/table" Target="../tables/table33.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8"/>
  <sheetViews>
    <sheetView showGridLines="0" tabSelected="1" workbookViewId="0"/>
  </sheetViews>
  <sheetFormatPr defaultRowHeight="15" x14ac:dyDescent="0.2"/>
  <cols>
    <col min="1" max="1" width="30.9375" customWidth="1"/>
    <col min="2" max="3" width="11.97265625" customWidth="1"/>
    <col min="4" max="4" width="18.0234375" customWidth="1"/>
    <col min="5" max="6" width="36.9921875" customWidth="1"/>
  </cols>
  <sheetData>
    <row r="1" spans="1:6" ht="32.1" customHeight="1" x14ac:dyDescent="0.2">
      <c r="A1" s="11" t="s">
        <v>0</v>
      </c>
      <c r="B1" s="12"/>
      <c r="C1" s="12"/>
      <c r="D1" s="12"/>
      <c r="E1" s="12"/>
      <c r="F1" s="12"/>
    </row>
    <row r="2" spans="1:6" x14ac:dyDescent="0.2">
      <c r="A2" s="12" t="s">
        <v>1</v>
      </c>
      <c r="B2" s="12"/>
      <c r="C2" s="12"/>
      <c r="D2" s="12"/>
      <c r="E2" s="12"/>
      <c r="F2" s="12"/>
    </row>
    <row r="3" spans="1:6" x14ac:dyDescent="0.2">
      <c r="A3" s="4" t="str">
        <f>HYPERLINK("#'Reader'!A1","OPEN RECORD READER")</f>
        <v>OPEN RECORD READER</v>
      </c>
      <c r="B3" s="2"/>
      <c r="C3" s="2"/>
      <c r="D3" s="2"/>
      <c r="E3" s="2"/>
      <c r="F3" s="2"/>
    </row>
    <row r="4" spans="1:6" x14ac:dyDescent="0.2">
      <c r="A4" s="2"/>
      <c r="B4" s="2"/>
      <c r="C4" s="2"/>
      <c r="D4" s="2"/>
      <c r="E4" s="2"/>
      <c r="F4" s="2"/>
    </row>
    <row r="5" spans="1:6" x14ac:dyDescent="0.2">
      <c r="A5" s="6" t="s">
        <v>2</v>
      </c>
      <c r="B5" s="6" t="s">
        <v>3</v>
      </c>
      <c r="C5" s="6" t="s">
        <v>4</v>
      </c>
      <c r="D5" s="6"/>
      <c r="E5" s="13"/>
      <c r="F5" s="13"/>
    </row>
    <row r="6" spans="1:6" ht="32.1" customHeight="1" x14ac:dyDescent="0.2">
      <c r="A6" s="4" t="str">
        <f>HYPERLINK("#'Projects'!A1","Projects")</f>
        <v>Projects</v>
      </c>
      <c r="B6" s="2" t="s">
        <v>5</v>
      </c>
      <c r="C6" s="2">
        <f>COUNTA(Projects!C7:C1200)</f>
        <v>3</v>
      </c>
      <c r="D6" s="12" t="s">
        <v>6</v>
      </c>
      <c r="E6" s="12"/>
      <c r="F6" s="12"/>
    </row>
    <row r="7" spans="1:6" ht="32.1" customHeight="1" x14ac:dyDescent="0.2">
      <c r="A7" s="4" t="str">
        <f>HYPERLINK("#'Pass Definitions'!A1","Pass Definitions")</f>
        <v>Pass Definitions</v>
      </c>
      <c r="B7" s="2" t="s">
        <v>7</v>
      </c>
      <c r="C7" s="2">
        <f>COUNTA('Pass Definitions'!C7:C1200)</f>
        <v>8</v>
      </c>
      <c r="D7" s="12"/>
      <c r="E7" s="12"/>
      <c r="F7" s="12"/>
    </row>
    <row r="8" spans="1:6" ht="32.1" customHeight="1" x14ac:dyDescent="0.2">
      <c r="A8" s="4" t="str">
        <f>HYPERLINK("#'Pass Runs'!A1","Pass Runs")</f>
        <v>Pass Runs</v>
      </c>
      <c r="B8" s="2" t="s">
        <v>8</v>
      </c>
      <c r="C8" s="2">
        <f>COUNTA('Pass Runs'!C7:C1200)</f>
        <v>22</v>
      </c>
      <c r="D8" s="12"/>
      <c r="E8" s="12"/>
      <c r="F8" s="12"/>
    </row>
    <row r="9" spans="1:6" ht="32.1" customHeight="1" x14ac:dyDescent="0.2">
      <c r="A9" s="4" t="str">
        <f>HYPERLINK("#'Instructions'!A1","Instructions")</f>
        <v>Instructions</v>
      </c>
      <c r="B9" s="2" t="s">
        <v>9</v>
      </c>
      <c r="C9" s="2">
        <f>COUNTA(Instructions!C7:C1200)</f>
        <v>420</v>
      </c>
      <c r="D9" s="12"/>
      <c r="E9" s="12"/>
      <c r="F9" s="12"/>
    </row>
    <row r="10" spans="1:6" ht="32.1" customHeight="1" x14ac:dyDescent="0.2">
      <c r="A10" s="4" t="str">
        <f>HYPERLINK("#'Record Revisions'!A1","Record Revisions")</f>
        <v>Record Revisions</v>
      </c>
      <c r="B10" s="2" t="s">
        <v>10</v>
      </c>
      <c r="C10" s="2">
        <f>COUNTA('Record Revisions'!C7:C1200)</f>
        <v>644</v>
      </c>
      <c r="D10" s="2"/>
      <c r="E10" s="2"/>
      <c r="F10" s="2"/>
    </row>
    <row r="11" spans="1:6" ht="32.1" customHeight="1" x14ac:dyDescent="0.2">
      <c r="A11" s="4" t="str">
        <f>HYPERLINK("#'Sources'!A1","Sources")</f>
        <v>Sources</v>
      </c>
      <c r="B11" s="2" t="s">
        <v>11</v>
      </c>
      <c r="C11" s="2">
        <f>COUNTA(Sources!C7:C1200)</f>
        <v>4</v>
      </c>
      <c r="D11" s="4" t="str">
        <f>HYPERLINK("#Guide!A1","READ AND USE GUIDE")</f>
        <v>READ AND USE GUIDE</v>
      </c>
      <c r="E11" s="2"/>
      <c r="F11" s="2"/>
    </row>
    <row r="12" spans="1:6" ht="32.1" customHeight="1" x14ac:dyDescent="0.2">
      <c r="A12" s="4" t="str">
        <f>HYPERLINK("#'Content Items'!A1","Content Items")</f>
        <v>Content Items</v>
      </c>
      <c r="B12" s="2" t="s">
        <v>12</v>
      </c>
      <c r="C12" s="2">
        <f>COUNTA('Content Items'!C7:C1200)</f>
        <v>32</v>
      </c>
      <c r="D12" s="2"/>
      <c r="E12" s="2"/>
      <c r="F12" s="2"/>
    </row>
    <row r="13" spans="1:6" ht="32.1" customHeight="1" x14ac:dyDescent="0.2">
      <c r="A13" s="4" t="str">
        <f>HYPERLINK("#'Figure Contracts'!A1","Figure Contracts")</f>
        <v>Figure Contracts</v>
      </c>
      <c r="B13" s="2" t="s">
        <v>13</v>
      </c>
      <c r="C13" s="2">
        <f>COUNTA('Figure Contracts'!C7:C1200)</f>
        <v>15</v>
      </c>
      <c r="D13" s="2"/>
      <c r="E13" s="2"/>
      <c r="F13" s="2"/>
    </row>
    <row r="14" spans="1:6" ht="32.1" customHeight="1" x14ac:dyDescent="0.2">
      <c r="A14" s="4" t="str">
        <f>HYPERLINK("#'Asset Requirements'!A1","Asset Requirements")</f>
        <v>Asset Requirements</v>
      </c>
      <c r="B14" s="2" t="s">
        <v>14</v>
      </c>
      <c r="C14" s="2">
        <f>COUNTA('Asset Requirements'!C7:C1200)</f>
        <v>34</v>
      </c>
      <c r="D14" s="2"/>
      <c r="E14" s="2"/>
      <c r="F14" s="2"/>
    </row>
    <row r="15" spans="1:6" ht="32.1" customHeight="1" x14ac:dyDescent="0.2">
      <c r="A15" s="4" t="str">
        <f>HYPERLINK("#'File Revisions'!A1","File Revisions")</f>
        <v>File Revisions</v>
      </c>
      <c r="B15" s="2" t="s">
        <v>15</v>
      </c>
      <c r="C15" s="2">
        <f>COUNTA('File Revisions'!C7:C1200)</f>
        <v>62</v>
      </c>
      <c r="D15" s="2"/>
      <c r="E15" s="2"/>
      <c r="F15" s="2"/>
    </row>
    <row r="16" spans="1:6" ht="32.1" customHeight="1" x14ac:dyDescent="0.2">
      <c r="A16" s="4" t="str">
        <f>HYPERLINK("#'Figure Outputs'!A1","Figure Outputs")</f>
        <v>Figure Outputs</v>
      </c>
      <c r="B16" s="2" t="s">
        <v>16</v>
      </c>
      <c r="C16" s="2">
        <f>COUNTA('Figure Outputs'!C7:C1200)</f>
        <v>15</v>
      </c>
      <c r="D16" s="2"/>
      <c r="E16" s="2"/>
      <c r="F16" s="2"/>
    </row>
    <row r="17" spans="1:6" ht="32.1" customHeight="1" x14ac:dyDescent="0.2">
      <c r="A17" s="4" t="str">
        <f>HYPERLINK("#'Document Placements'!A1","Document Placements")</f>
        <v>Document Placements</v>
      </c>
      <c r="B17" s="2" t="s">
        <v>17</v>
      </c>
      <c r="C17" s="2">
        <f>COUNTA('Document Placements'!C7:C1200)</f>
        <v>39</v>
      </c>
      <c r="D17" s="2"/>
      <c r="E17" s="2"/>
      <c r="F17" s="2"/>
    </row>
    <row r="18" spans="1:6" ht="32.1" customHeight="1" x14ac:dyDescent="0.2">
      <c r="A18" s="4" t="str">
        <f>HYPERLINK("#'Dependencies'!A1","Dependencies")</f>
        <v>Dependencies</v>
      </c>
      <c r="B18" s="2" t="s">
        <v>18</v>
      </c>
      <c r="C18" s="2">
        <f>COUNTA(Dependencies!C7:C1200)</f>
        <v>217</v>
      </c>
      <c r="D18" s="2"/>
      <c r="E18" s="2"/>
      <c r="F18" s="2"/>
    </row>
    <row r="19" spans="1:6" ht="32.1" customHeight="1" x14ac:dyDescent="0.2">
      <c r="A19" s="4" t="str">
        <f>HYPERLINK("#'Checks'!A1","Checks")</f>
        <v>Checks</v>
      </c>
      <c r="B19" s="2" t="s">
        <v>19</v>
      </c>
      <c r="C19" s="2">
        <f>COUNTA(Checks!C7:C1200)</f>
        <v>55</v>
      </c>
      <c r="D19" s="2"/>
      <c r="E19" s="2"/>
      <c r="F19" s="2"/>
    </row>
    <row r="20" spans="1:6" ht="32.1" customHeight="1" x14ac:dyDescent="0.2">
      <c r="A20" s="4" t="str">
        <f>HYPERLINK("#'Issues'!A1","Issues")</f>
        <v>Issues</v>
      </c>
      <c r="B20" s="2" t="s">
        <v>20</v>
      </c>
      <c r="C20" s="2">
        <f>COUNTA(Issues!C7:C1200)</f>
        <v>6</v>
      </c>
      <c r="D20" s="2"/>
      <c r="E20" s="2"/>
      <c r="F20" s="2"/>
    </row>
    <row r="21" spans="1:6" ht="32.1" customHeight="1" x14ac:dyDescent="0.2">
      <c r="A21" s="4" t="str">
        <f>HYPERLINK("#'Approvals'!A1","Approvals")</f>
        <v>Approvals</v>
      </c>
      <c r="B21" s="2" t="s">
        <v>21</v>
      </c>
      <c r="C21" s="2">
        <f>COUNTA(Approvals!C7:C1200)</f>
        <v>0</v>
      </c>
      <c r="D21" s="2"/>
      <c r="E21" s="2"/>
      <c r="F21" s="2"/>
    </row>
    <row r="22" spans="1:6" ht="32.1" customHeight="1" x14ac:dyDescent="0.2">
      <c r="A22" s="4" t="str">
        <f>HYPERLINK("#'Releases'!A1","Releases")</f>
        <v>Releases</v>
      </c>
      <c r="B22" s="2" t="s">
        <v>22</v>
      </c>
      <c r="C22" s="2">
        <f>COUNTA(Releases!C7:C1200)</f>
        <v>2</v>
      </c>
      <c r="D22" s="2"/>
      <c r="E22" s="2"/>
      <c r="F22" s="2"/>
    </row>
    <row r="23" spans="1:6" ht="32.1" customHeight="1" x14ac:dyDescent="0.2">
      <c r="A23" s="4" t="str">
        <f>HYPERLINK("#'Table Dictionary'!A1","Table Dictionary")</f>
        <v>Table Dictionary</v>
      </c>
      <c r="B23" s="2" t="s">
        <v>23</v>
      </c>
      <c r="C23" s="2">
        <f>COUNTA('Table Dictionary'!C7:C1200)</f>
        <v>33</v>
      </c>
      <c r="D23" s="2"/>
      <c r="E23" s="2"/>
      <c r="F23" s="2"/>
    </row>
    <row r="24" spans="1:6" ht="32.1" customHeight="1" x14ac:dyDescent="0.2">
      <c r="A24" s="4" t="str">
        <f>HYPERLINK("#'Field Dictionary'!A1","Field Dictionary")</f>
        <v>Field Dictionary</v>
      </c>
      <c r="B24" s="2" t="s">
        <v>24</v>
      </c>
      <c r="C24" s="2">
        <f>COUNTA('Field Dictionary'!C7:C1200)</f>
        <v>382</v>
      </c>
      <c r="D24" s="2"/>
      <c r="E24" s="2"/>
      <c r="F24" s="2"/>
    </row>
    <row r="25" spans="1:6" ht="32.1" customHeight="1" x14ac:dyDescent="0.2">
      <c r="A25" s="4" t="str">
        <f>HYPERLINK("#'Source Support'!A1","Source Support")</f>
        <v>Source Support</v>
      </c>
      <c r="B25" s="2" t="s">
        <v>25</v>
      </c>
      <c r="C25" s="2">
        <f>COUNTA('Source Support'!C7:C1200)</f>
        <v>32</v>
      </c>
      <c r="D25" s="2"/>
      <c r="E25" s="2"/>
      <c r="F25" s="2"/>
    </row>
    <row r="26" spans="1:6" ht="32.1" customHeight="1" x14ac:dyDescent="0.2">
      <c r="A26" s="4" t="str">
        <f>HYPERLINK("#'Figure Coverage'!A1","Figure Coverage")</f>
        <v>Figure Coverage</v>
      </c>
      <c r="B26" s="2" t="s">
        <v>26</v>
      </c>
      <c r="C26" s="2">
        <f>COUNTA('Figure Coverage'!C7:C1200)</f>
        <v>15</v>
      </c>
      <c r="D26" s="2"/>
      <c r="E26" s="2"/>
      <c r="F26" s="2"/>
    </row>
    <row r="27" spans="1:6" ht="32.1" customHeight="1" x14ac:dyDescent="0.2">
      <c r="A27" s="4" t="str">
        <f>HYPERLINK("#'Figure Requirements'!A1","Figure Requirements")</f>
        <v>Figure Requirements</v>
      </c>
      <c r="B27" s="2" t="s">
        <v>27</v>
      </c>
      <c r="C27" s="2">
        <f>COUNTA('Figure Requirements'!C7:C1200)</f>
        <v>59</v>
      </c>
      <c r="D27" s="2"/>
      <c r="E27" s="2"/>
      <c r="F27" s="2"/>
    </row>
    <row r="28" spans="1:6" ht="32.1" customHeight="1" x14ac:dyDescent="0.2">
      <c r="A28" s="4" t="str">
        <f>HYPERLINK("#'Requirement Fulfillment'!A1","Requirement Fulfillment")</f>
        <v>Requirement Fulfillment</v>
      </c>
      <c r="B28" s="2" t="s">
        <v>28</v>
      </c>
      <c r="C28" s="2">
        <f>COUNTA('Requirement Fulfillment'!C7:C1200)</f>
        <v>29</v>
      </c>
      <c r="D28" s="2"/>
      <c r="E28" s="2"/>
      <c r="F28" s="2"/>
    </row>
    <row r="29" spans="1:6" ht="32.1" customHeight="1" x14ac:dyDescent="0.2">
      <c r="A29" s="4" t="str">
        <f>HYPERLINK("#'Run Artifacts'!A1","Run Artifacts")</f>
        <v>Run Artifacts</v>
      </c>
      <c r="B29" s="2" t="s">
        <v>29</v>
      </c>
      <c r="C29" s="2">
        <f>COUNTA('Run Artifacts'!C7:C1200)</f>
        <v>264</v>
      </c>
      <c r="D29" s="2"/>
      <c r="E29" s="2"/>
      <c r="F29" s="2"/>
    </row>
    <row r="30" spans="1:6" ht="32.1" customHeight="1" x14ac:dyDescent="0.2">
      <c r="A30" s="4" t="str">
        <f>HYPERLINK("#'Document Plans'!A1","Document Plans")</f>
        <v>Document Plans</v>
      </c>
      <c r="B30" s="2" t="s">
        <v>30</v>
      </c>
      <c r="C30" s="2">
        <f>COUNTA('Document Plans'!C7:C1200)</f>
        <v>2</v>
      </c>
      <c r="D30" s="2"/>
      <c r="E30" s="2"/>
      <c r="F30" s="2"/>
    </row>
    <row r="31" spans="1:6" ht="32.1" customHeight="1" x14ac:dyDescent="0.2">
      <c r="A31" s="4" t="str">
        <f>HYPERLINK("#'Templates'!A1","Templates")</f>
        <v>Templates</v>
      </c>
      <c r="B31" s="2" t="s">
        <v>31</v>
      </c>
      <c r="C31" s="2">
        <f>COUNTA(Templates!C7:C1200)</f>
        <v>1</v>
      </c>
      <c r="D31" s="2"/>
      <c r="E31" s="2"/>
      <c r="F31" s="2"/>
    </row>
    <row r="32" spans="1:6" ht="32.1" customHeight="1" x14ac:dyDescent="0.2">
      <c r="A32" s="4" t="str">
        <f>HYPERLINK("#'Template Slots'!A1","Template Slots")</f>
        <v>Template Slots</v>
      </c>
      <c r="B32" s="2" t="s">
        <v>32</v>
      </c>
      <c r="C32" s="2">
        <f>COUNTA('Template Slots'!C7:C1200)</f>
        <v>3</v>
      </c>
      <c r="D32" s="2"/>
      <c r="E32" s="2"/>
      <c r="F32" s="2"/>
    </row>
    <row r="33" spans="1:6" ht="32.1" customHeight="1" x14ac:dyDescent="0.2">
      <c r="A33" s="4" t="str">
        <f>HYPERLINK("#'Rulesets'!A1","Rulesets")</f>
        <v>Rulesets</v>
      </c>
      <c r="B33" s="2" t="s">
        <v>33</v>
      </c>
      <c r="C33" s="2">
        <f>COUNTA(Rulesets!C7:C1200)</f>
        <v>1</v>
      </c>
      <c r="D33" s="2"/>
      <c r="E33" s="2"/>
      <c r="F33" s="2"/>
    </row>
    <row r="34" spans="1:6" ht="32.1" customHeight="1" x14ac:dyDescent="0.2">
      <c r="A34" s="4" t="str">
        <f>HYPERLINK("#'Rules'!A1","Rules")</f>
        <v>Rules</v>
      </c>
      <c r="B34" s="2" t="s">
        <v>34</v>
      </c>
      <c r="C34" s="2">
        <f>COUNTA(Rules!C7:C1200)</f>
        <v>3</v>
      </c>
      <c r="D34" s="2"/>
      <c r="E34" s="2"/>
      <c r="F34" s="2"/>
    </row>
    <row r="35" spans="1:6" ht="32.1" customHeight="1" x14ac:dyDescent="0.2">
      <c r="A35" s="4" t="str">
        <f>HYPERLINK("#'Themes'!A1","Themes")</f>
        <v>Themes</v>
      </c>
      <c r="B35" s="2" t="s">
        <v>35</v>
      </c>
      <c r="C35" s="2">
        <f>COUNTA(Themes!C7:C1200)</f>
        <v>1</v>
      </c>
      <c r="D35" s="2"/>
      <c r="E35" s="2"/>
      <c r="F35" s="2"/>
    </row>
    <row r="36" spans="1:6" ht="32.1" customHeight="1" x14ac:dyDescent="0.2">
      <c r="A36" s="4" t="str">
        <f>HYPERLINK("#'Assembly Components'!A1","Assembly Components")</f>
        <v>Assembly Components</v>
      </c>
      <c r="B36" s="2" t="s">
        <v>36</v>
      </c>
      <c r="C36" s="2">
        <f>COUNTA('Assembly Components'!C7:C1200)</f>
        <v>1</v>
      </c>
      <c r="D36" s="2"/>
      <c r="E36" s="2"/>
      <c r="F36" s="2"/>
    </row>
    <row r="37" spans="1:6" ht="32.1" customHeight="1" x14ac:dyDescent="0.2">
      <c r="A37" s="4" t="str">
        <f>HYPERLINK("#'Generation Requests'!A1","Generation Requests")</f>
        <v>Generation Requests</v>
      </c>
      <c r="B37" s="2" t="s">
        <v>37</v>
      </c>
      <c r="C37" s="2">
        <f>COUNTA('Generation Requests'!C7:C1200)</f>
        <v>1</v>
      </c>
      <c r="D37" s="2"/>
      <c r="E37" s="2"/>
      <c r="F37" s="2"/>
    </row>
    <row r="38" spans="1:6" ht="32.1" customHeight="1" x14ac:dyDescent="0.2">
      <c r="A38" s="4" t="str">
        <f>HYPERLINK("#'Asset Lifecycle'!A1","Asset Lifecycle")</f>
        <v>Asset Lifecycle</v>
      </c>
      <c r="B38" s="2" t="s">
        <v>38</v>
      </c>
      <c r="C38" s="2">
        <f>COUNTA('Asset Lifecycle'!C7:C1200)</f>
        <v>1</v>
      </c>
      <c r="D38" s="2"/>
      <c r="E38" s="2"/>
      <c r="F38" s="2"/>
    </row>
    <row r="39" spans="1:6" x14ac:dyDescent="0.2">
      <c r="A39" s="2"/>
      <c r="B39" s="2"/>
      <c r="C39" s="2"/>
      <c r="D39" s="2"/>
      <c r="E39" s="2"/>
      <c r="F39" s="2"/>
    </row>
    <row r="40" spans="1:6" x14ac:dyDescent="0.2">
      <c r="A40" s="2"/>
      <c r="B40" s="2"/>
      <c r="C40" s="2"/>
      <c r="D40" s="2"/>
      <c r="E40" s="2"/>
      <c r="F40" s="2"/>
    </row>
    <row r="41" spans="1:6" x14ac:dyDescent="0.2">
      <c r="A41" s="2"/>
      <c r="B41" s="2"/>
      <c r="C41" s="2"/>
      <c r="D41" s="2"/>
      <c r="E41" s="2"/>
      <c r="F41" s="2"/>
    </row>
    <row r="42" spans="1:6" x14ac:dyDescent="0.2">
      <c r="A42" s="2"/>
      <c r="B42" s="2"/>
      <c r="C42" s="2"/>
      <c r="D42" s="2"/>
      <c r="E42" s="2"/>
      <c r="F42" s="2"/>
    </row>
    <row r="43" spans="1:6" x14ac:dyDescent="0.2">
      <c r="A43" s="2"/>
      <c r="B43" s="2"/>
      <c r="C43" s="2"/>
      <c r="D43" s="2"/>
      <c r="E43" s="2"/>
      <c r="F43" s="2"/>
    </row>
    <row r="44" spans="1:6" x14ac:dyDescent="0.2">
      <c r="A44" s="2"/>
      <c r="B44" s="2"/>
      <c r="C44" s="2"/>
      <c r="D44" s="2"/>
      <c r="E44" s="2"/>
      <c r="F44" s="2"/>
    </row>
    <row r="45" spans="1:6" x14ac:dyDescent="0.2">
      <c r="A45" s="2"/>
      <c r="B45" s="2"/>
      <c r="C45" s="2"/>
      <c r="D45" s="2"/>
      <c r="E45" s="2"/>
      <c r="F45" s="2"/>
    </row>
    <row r="46" spans="1:6" x14ac:dyDescent="0.2">
      <c r="A46" s="2"/>
      <c r="B46" s="2"/>
      <c r="C46" s="2"/>
      <c r="D46" s="2"/>
      <c r="E46" s="2"/>
      <c r="F46" s="2"/>
    </row>
    <row r="47" spans="1:6" x14ac:dyDescent="0.2">
      <c r="A47" s="2"/>
      <c r="B47" s="2"/>
      <c r="C47" s="2"/>
      <c r="D47" s="2"/>
      <c r="E47" s="2"/>
      <c r="F47" s="2"/>
    </row>
    <row r="48" spans="1:6" x14ac:dyDescent="0.2">
      <c r="A48" s="2"/>
      <c r="B48" s="2"/>
      <c r="C48" s="2"/>
      <c r="D48" s="2"/>
      <c r="E48" s="2"/>
      <c r="F48" s="2"/>
    </row>
  </sheetData>
  <mergeCells count="4">
    <mergeCell ref="A1:F1"/>
    <mergeCell ref="A2:F2"/>
    <mergeCell ref="E5:F5"/>
    <mergeCell ref="D6:F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0"/>
  <sheetViews>
    <sheetView showGridLines="0" workbookViewId="0">
      <pane ySplit="8" topLeftCell="A9" activePane="bottomLeft" state="frozen"/>
      <selection pane="bottomLeft"/>
    </sheetView>
  </sheetViews>
  <sheetFormatPr defaultRowHeight="15" x14ac:dyDescent="0.2"/>
  <cols>
    <col min="1" max="1" width="11.97265625" customWidth="1"/>
    <col min="2" max="2" width="32.015625" customWidth="1"/>
    <col min="3" max="3" width="66.05078125" customWidth="1"/>
    <col min="4" max="4" width="22.05859375" customWidth="1"/>
    <col min="5" max="5" width="29.0546875" customWidth="1"/>
    <col min="6" max="6" width="23.9453125" customWidth="1"/>
  </cols>
  <sheetData>
    <row r="1" spans="1:6" x14ac:dyDescent="0.2">
      <c r="A1" s="14" t="s">
        <v>39</v>
      </c>
      <c r="B1" s="12"/>
      <c r="C1" s="12"/>
      <c r="D1" s="12"/>
      <c r="E1" s="12"/>
      <c r="F1" s="12"/>
    </row>
    <row r="2" spans="1:6" x14ac:dyDescent="0.2">
      <c r="A2" s="2" t="str">
        <f>HYPERLINK("#'Home'!A1","Home")</f>
        <v>Home</v>
      </c>
      <c r="B2" s="2"/>
      <c r="C2" s="2"/>
      <c r="D2" s="2"/>
      <c r="E2" s="2"/>
      <c r="F2" s="2"/>
    </row>
    <row r="3" spans="1:6" ht="27.95" customHeight="1" x14ac:dyDescent="0.2">
      <c r="A3" s="2" t="s">
        <v>2</v>
      </c>
      <c r="B3" s="9" t="s">
        <v>40</v>
      </c>
      <c r="C3" s="2"/>
      <c r="D3" s="12" t="s">
        <v>41</v>
      </c>
      <c r="E3" s="12"/>
      <c r="F3" s="12"/>
    </row>
    <row r="4" spans="1:6" ht="27.95" customHeight="1" x14ac:dyDescent="0.2">
      <c r="A4" s="2" t="s">
        <v>42</v>
      </c>
      <c r="B4" s="9" t="s">
        <v>43</v>
      </c>
      <c r="C4" s="2"/>
      <c r="D4" s="12"/>
      <c r="E4" s="12"/>
      <c r="F4" s="12"/>
    </row>
    <row r="5" spans="1:6" ht="27.95" customHeight="1" x14ac:dyDescent="0.2">
      <c r="A5" s="2" t="s">
        <v>44</v>
      </c>
      <c r="B5" s="9">
        <v>5</v>
      </c>
      <c r="C5" s="2"/>
      <c r="D5" s="12"/>
      <c r="E5" s="12"/>
      <c r="F5" s="12"/>
    </row>
    <row r="6" spans="1:6" ht="27.95" customHeight="1" x14ac:dyDescent="0.2">
      <c r="A6" s="2" t="s">
        <v>45</v>
      </c>
      <c r="B6" s="9">
        <v>1</v>
      </c>
      <c r="C6" s="2"/>
      <c r="D6" s="12"/>
      <c r="E6" s="12"/>
      <c r="F6" s="12"/>
    </row>
    <row r="7" spans="1:6" x14ac:dyDescent="0.2">
      <c r="A7" s="2"/>
      <c r="B7" s="2"/>
      <c r="C7" s="2"/>
      <c r="D7" s="2"/>
      <c r="E7" s="2"/>
      <c r="F7" s="2"/>
    </row>
    <row r="8" spans="1:6" x14ac:dyDescent="0.2">
      <c r="A8" s="6" t="s">
        <v>46</v>
      </c>
      <c r="B8" s="6" t="s">
        <v>47</v>
      </c>
      <c r="C8" s="6" t="s">
        <v>48</v>
      </c>
      <c r="D8" s="6" t="s">
        <v>49</v>
      </c>
      <c r="E8" s="6" t="s">
        <v>50</v>
      </c>
      <c r="F8" s="6" t="s">
        <v>51</v>
      </c>
    </row>
    <row r="9" spans="1:6" ht="86.1" customHeight="1" x14ac:dyDescent="0.2">
      <c r="A9" s="2">
        <v>1</v>
      </c>
      <c r="B9"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Lifecycle'!A5:P5),1,A9),"")</f>
        <v>1 — Name</v>
      </c>
      <c r="C9" s="2" t="str">
        <f>IF(B9="","",IF(COUNTIFS(CHOOSE(MATCH($B$3,'Table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Lifecycle'!C7:C1200),0),A9)="","",INDEX(CHOOSE(MATCH($B$3,'Table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Lifecycle'!C7:C1200),0),A9))))</f>
        <v>F01 approved output</v>
      </c>
      <c r="D9" s="2" t="str">
        <f>IF(B9="","",INDEX('Field Dictionary'!$G$7:$G$500,MATCH(INDEX('Table Dictionary'!$C$7:$C$39,MATCH($B$3,'Table Dictionary'!$A$7:$A$39,0))&amp;"-F"&amp;TEXT(A9,"00"),'Field Dictionary'!$C$7:$C$500,0)))</f>
        <v>SHORT TEXT</v>
      </c>
      <c r="E9" s="2" t="str">
        <f>IF(OR(D9="LINKED RECORD",D9="LINKED RECORDS"),INDEX('Table Dictionary'!$A$7:$A$39,MATCH(INDEX('Field Dictionary'!$J$7:$J$500,MATCH(INDEX('Table Dictionary'!$C$7:$C$39,MATCH($B$3,'Table Dictionary'!$A$7:$A$39,0))&amp;"-F"&amp;TEXT(A9,"00"),'Field Dictionary'!$C$7:$C$500,0)),'Table Dictionary'!$C$7:$C$39,0)),"")</f>
        <v/>
      </c>
      <c r="F9" s="4" t="str">
        <f>IF(B9="","",HYPERLINK("#'Field Dictionary'!A"&amp;(MATCH(INDEX('Table Dictionary'!$C$7:$C$39,MATCH($B$3,'Table Dictionary'!$A$7:$A$39,0))&amp;"-F"&amp;TEXT(A9,"00"),'Field Dictionary'!$C$7:$C$500,0)+6),"Read field rule"))</f>
        <v>Read field rule</v>
      </c>
    </row>
    <row r="10" spans="1:6" ht="86.1" customHeight="1" x14ac:dyDescent="0.2">
      <c r="A10" s="2">
        <v>2</v>
      </c>
      <c r="B10"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Lifecycle'!A5:P5),1,A10),"")</f>
        <v>2 — Description</v>
      </c>
      <c r="C10" s="2" t="str">
        <f>IF(B10="","",IF(COUNTIFS(CHOOSE(MATCH($B$3,'Table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Lifecycle'!C7:C1200),0),A10)="","",INDEX(CHOOSE(MATCH($B$3,'Table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Lifecycle'!C7:C1200),0),A10))))</f>
        <v>Registered preserved figure implementation.</v>
      </c>
      <c r="D10" s="2" t="str">
        <f>IF(B10="","",INDEX('Field Dictionary'!$G$7:$G$500,MATCH(INDEX('Table Dictionary'!$C$7:$C$39,MATCH($B$3,'Table Dictionary'!$A$7:$A$39,0))&amp;"-F"&amp;TEXT(A10,"00"),'Field Dictionary'!$C$7:$C$500,0)))</f>
        <v>LONG TEXT</v>
      </c>
      <c r="E10" s="2" t="str">
        <f>IF(OR(D10="LINKED RECORD",D10="LINKED RECORDS"),INDEX('Table Dictionary'!$A$7:$A$39,MATCH(INDEX('Field Dictionary'!$J$7:$J$500,MATCH(INDEX('Table Dictionary'!$C$7:$C$39,MATCH($B$3,'Table Dictionary'!$A$7:$A$39,0))&amp;"-F"&amp;TEXT(A10,"00"),'Field Dictionary'!$C$7:$C$500,0)),'Table Dictionary'!$C$7:$C$39,0)),"")</f>
        <v/>
      </c>
      <c r="F10" s="4" t="str">
        <f>IF(B10="","",HYPERLINK("#'Field Dictionary'!A"&amp;(MATCH(INDEX('Table Dictionary'!$C$7:$C$39,MATCH($B$3,'Table Dictionary'!$A$7:$A$39,0))&amp;"-F"&amp;TEXT(A10,"00"),'Field Dictionary'!$C$7:$C$500,0)+6),"Read field rule"))</f>
        <v>Read field rule</v>
      </c>
    </row>
    <row r="11" spans="1:6" ht="86.1" customHeight="1" x14ac:dyDescent="0.2">
      <c r="A11" s="2">
        <v>3</v>
      </c>
      <c r="B11"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Lifecycle'!A5:P5),1,A11),"")</f>
        <v>3 — Record ID</v>
      </c>
      <c r="C11" s="2" t="str">
        <f>IF(B11="","",IF(COUNTIFS(CHOOSE(MATCH($B$3,'Table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Lifecycle'!C7:C1200),0),A11)="","",INDEX(CHOOSE(MATCH($B$3,'Table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Lifecycle'!C7:C1200),0),A11))))</f>
        <v>OUTPUT-F01</v>
      </c>
      <c r="D11" s="2" t="str">
        <f>IF(B11="","",INDEX('Field Dictionary'!$G$7:$G$500,MATCH(INDEX('Table Dictionary'!$C$7:$C$39,MATCH($B$3,'Table Dictionary'!$A$7:$A$39,0))&amp;"-F"&amp;TEXT(A11,"00"),'Field Dictionary'!$C$7:$C$500,0)))</f>
        <v>SHORT TEXT</v>
      </c>
      <c r="E11" s="2" t="str">
        <f>IF(OR(D11="LINKED RECORD",D11="LINKED RECORDS"),INDEX('Table Dictionary'!$A$7:$A$39,MATCH(INDEX('Field Dictionary'!$J$7:$J$500,MATCH(INDEX('Table Dictionary'!$C$7:$C$39,MATCH($B$3,'Table Dictionary'!$A$7:$A$39,0))&amp;"-F"&amp;TEXT(A11,"00"),'Field Dictionary'!$C$7:$C$500,0)),'Table Dictionary'!$C$7:$C$39,0)),"")</f>
        <v/>
      </c>
      <c r="F11" s="4" t="str">
        <f>IF(B11="","",HYPERLINK("#'Field Dictionary'!A"&amp;(MATCH(INDEX('Table Dictionary'!$C$7:$C$39,MATCH($B$3,'Table Dictionary'!$A$7:$A$39,0))&amp;"-F"&amp;TEXT(A11,"00"),'Field Dictionary'!$C$7:$C$500,0)+6),"Read field rule"))</f>
        <v>Read field rule</v>
      </c>
    </row>
    <row r="12" spans="1:6" ht="86.1" customHeight="1" x14ac:dyDescent="0.2">
      <c r="A12" s="2">
        <v>4</v>
      </c>
      <c r="B12"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Lifecycle'!A5:P5),1,A12),"")</f>
        <v>4 — Revision</v>
      </c>
      <c r="C12" s="2" t="str">
        <f>IF(B12="","",IF(COUNTIFS(CHOOSE(MATCH($B$3,'Table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Lifecycle'!C7:C1200),0),A12)="","",INDEX(CHOOSE(MATCH($B$3,'Table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Lifecycle'!C7:C1200),0),A12))))</f>
        <v>R-OUTPUT-F01</v>
      </c>
      <c r="D12" s="2" t="str">
        <f>IF(B12="","",INDEX('Field Dictionary'!$G$7:$G$500,MATCH(INDEX('Table Dictionary'!$C$7:$C$39,MATCH($B$3,'Table Dictionary'!$A$7:$A$39,0))&amp;"-F"&amp;TEXT(A12,"00"),'Field Dictionary'!$C$7:$C$500,0)))</f>
        <v>LINKED RECORD</v>
      </c>
      <c r="E12" s="2" t="str">
        <f>IF(OR(D12="LINKED RECORD",D12="LINKED RECORDS"),INDEX('Table Dictionary'!$A$7:$A$39,MATCH(INDEX('Field Dictionary'!$J$7:$J$500,MATCH(INDEX('Table Dictionary'!$C$7:$C$39,MATCH($B$3,'Table Dictionary'!$A$7:$A$39,0))&amp;"-F"&amp;TEXT(A12,"00"),'Field Dictionary'!$C$7:$C$500,0)),'Table Dictionary'!$C$7:$C$39,0)),"")</f>
        <v>Record Revisions</v>
      </c>
      <c r="F12" s="4" t="str">
        <f>IF(B12="","",HYPERLINK("#'Field Dictionary'!A"&amp;(MATCH(INDEX('Table Dictionary'!$C$7:$C$39,MATCH($B$3,'Table Dictionary'!$A$7:$A$39,0))&amp;"-F"&amp;TEXT(A12,"00"),'Field Dictionary'!$C$7:$C$500,0)+6),"Read field rule"))</f>
        <v>Read field rule</v>
      </c>
    </row>
    <row r="13" spans="1:6" ht="86.1" customHeight="1" x14ac:dyDescent="0.2">
      <c r="A13" s="2">
        <v>5</v>
      </c>
      <c r="B13"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Lifecycle'!A5:P5),1,A13),"")</f>
        <v>5 — Figure Contract</v>
      </c>
      <c r="C13" s="2" t="str">
        <f>IF(B13="","",IF(COUNTIFS(CHOOSE(MATCH($B$3,'Table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Lifecycle'!C7:C1200),0),A13)="","",INDEX(CHOOSE(MATCH($B$3,'Table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Lifecycle'!C7:C1200),0),A13))))</f>
        <v>CONTRACT-F01</v>
      </c>
      <c r="D13" s="2" t="str">
        <f>IF(B13="","",INDEX('Field Dictionary'!$G$7:$G$500,MATCH(INDEX('Table Dictionary'!$C$7:$C$39,MATCH($B$3,'Table Dictionary'!$A$7:$A$39,0))&amp;"-F"&amp;TEXT(A13,"00"),'Field Dictionary'!$C$7:$C$500,0)))</f>
        <v>LINKED RECORD</v>
      </c>
      <c r="E13" s="2" t="str">
        <f>IF(OR(D13="LINKED RECORD",D13="LINKED RECORDS"),INDEX('Table Dictionary'!$A$7:$A$39,MATCH(INDEX('Field Dictionary'!$J$7:$J$500,MATCH(INDEX('Table Dictionary'!$C$7:$C$39,MATCH($B$3,'Table Dictionary'!$A$7:$A$39,0))&amp;"-F"&amp;TEXT(A13,"00"),'Field Dictionary'!$C$7:$C$500,0)),'Table Dictionary'!$C$7:$C$39,0)),"")</f>
        <v>Figure Contracts</v>
      </c>
      <c r="F13" s="4" t="str">
        <f>IF(B13="","",HYPERLINK("#'Field Dictionary'!A"&amp;(MATCH(INDEX('Table Dictionary'!$C$7:$C$39,MATCH($B$3,'Table Dictionary'!$A$7:$A$39,0))&amp;"-F"&amp;TEXT(A13,"00"),'Field Dictionary'!$C$7:$C$500,0)+6),"Read field rule"))</f>
        <v>Read field rule</v>
      </c>
    </row>
    <row r="14" spans="1:6" ht="86.1" customHeight="1" x14ac:dyDescent="0.2">
      <c r="A14" s="2">
        <v>6</v>
      </c>
      <c r="B14"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Lifecycle'!A5:P5),1,A14),"")</f>
        <v>6 — Display File</v>
      </c>
      <c r="C14" s="2" t="str">
        <f>IF(B14="","",IF(COUNTIFS(CHOOSE(MATCH($B$3,'Table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Lifecycle'!C7:C1200),0),A14)="","",INDEX(CHOOSE(MATCH($B$3,'Table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Lifecycle'!C7:C1200),0),A14))))</f>
        <v>F01-PNG</v>
      </c>
      <c r="D14" s="2" t="str">
        <f>IF(B14="","",INDEX('Field Dictionary'!$G$7:$G$500,MATCH(INDEX('Table Dictionary'!$C$7:$C$39,MATCH($B$3,'Table Dictionary'!$A$7:$A$39,0))&amp;"-F"&amp;TEXT(A14,"00"),'Field Dictionary'!$C$7:$C$500,0)))</f>
        <v>LINKED RECORD</v>
      </c>
      <c r="E14" s="2" t="str">
        <f>IF(OR(D14="LINKED RECORD",D14="LINKED RECORDS"),INDEX('Table Dictionary'!$A$7:$A$39,MATCH(INDEX('Field Dictionary'!$J$7:$J$500,MATCH(INDEX('Table Dictionary'!$C$7:$C$39,MATCH($B$3,'Table Dictionary'!$A$7:$A$39,0))&amp;"-F"&amp;TEXT(A14,"00"),'Field Dictionary'!$C$7:$C$500,0)),'Table Dictionary'!$C$7:$C$39,0)),"")</f>
        <v>File Revisions</v>
      </c>
      <c r="F14" s="4" t="str">
        <f>IF(B14="","",HYPERLINK("#'Field Dictionary'!A"&amp;(MATCH(INDEX('Table Dictionary'!$C$7:$C$39,MATCH($B$3,'Table Dictionary'!$A$7:$A$39,0))&amp;"-F"&amp;TEXT(A14,"00"),'Field Dictionary'!$C$7:$C$500,0)+6),"Read field rule"))</f>
        <v>Read field rule</v>
      </c>
    </row>
    <row r="15" spans="1:6" ht="86.1" customHeight="1" x14ac:dyDescent="0.2">
      <c r="A15" s="2">
        <v>7</v>
      </c>
      <c r="B15"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Lifecycle'!A5:P5),1,A15),"")</f>
        <v>7 — Editable Files</v>
      </c>
      <c r="C15" s="2" t="str">
        <f>IF(B15="","",IF(COUNTIFS(CHOOSE(MATCH($B$3,'Table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Lifecycle'!C7:C1200),0),A15)="","",INDEX(CHOOSE(MATCH($B$3,'Table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Lifecycle'!C7:C1200),0),A15))))</f>
        <v>["F01-SVG"]</v>
      </c>
      <c r="D15" s="2" t="str">
        <f>IF(B15="","",INDEX('Field Dictionary'!$G$7:$G$500,MATCH(INDEX('Table Dictionary'!$C$7:$C$39,MATCH($B$3,'Table Dictionary'!$A$7:$A$39,0))&amp;"-F"&amp;TEXT(A15,"00"),'Field Dictionary'!$C$7:$C$500,0)))</f>
        <v>LINKED RECORDS</v>
      </c>
      <c r="E15" s="2" t="str">
        <f>IF(OR(D15="LINKED RECORD",D15="LINKED RECORDS"),INDEX('Table Dictionary'!$A$7:$A$39,MATCH(INDEX('Field Dictionary'!$J$7:$J$500,MATCH(INDEX('Table Dictionary'!$C$7:$C$39,MATCH($B$3,'Table Dictionary'!$A$7:$A$39,0))&amp;"-F"&amp;TEXT(A15,"00"),'Field Dictionary'!$C$7:$C$500,0)),'Table Dictionary'!$C$7:$C$39,0)),"")</f>
        <v>File Revisions</v>
      </c>
      <c r="F15" s="4" t="str">
        <f>IF(B15="","",HYPERLINK("#'Field Dictionary'!A"&amp;(MATCH(INDEX('Table Dictionary'!$C$7:$C$39,MATCH($B$3,'Table Dictionary'!$A$7:$A$39,0))&amp;"-F"&amp;TEXT(A15,"00"),'Field Dictionary'!$C$7:$C$500,0)+6),"Read field rule"))</f>
        <v>Read field rule</v>
      </c>
    </row>
    <row r="16" spans="1:6" ht="86.1" customHeight="1" x14ac:dyDescent="0.2">
      <c r="A16" s="2">
        <v>8</v>
      </c>
      <c r="B16"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Lifecycle'!A5:P5),1,A16),"")</f>
        <v>8 — Used Fulfillments</v>
      </c>
      <c r="C16" s="2" t="str">
        <f>IF(B16="","",IF(COUNTIFS(CHOOSE(MATCH($B$3,'Table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Lifecycle'!C7:C1200),0),A16)="","",INDEX(CHOOSE(MATCH($B$3,'Table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Lifecycle'!C7:C1200),0),A16))))</f>
        <v>["FUL-F01-SVG","FUL-F01-PNG"]</v>
      </c>
      <c r="D16" s="2" t="str">
        <f>IF(B16="","",INDEX('Field Dictionary'!$G$7:$G$500,MATCH(INDEX('Table Dictionary'!$C$7:$C$39,MATCH($B$3,'Table Dictionary'!$A$7:$A$39,0))&amp;"-F"&amp;TEXT(A16,"00"),'Field Dictionary'!$C$7:$C$500,0)))</f>
        <v>LINKED RECORDS</v>
      </c>
      <c r="E16" s="2" t="str">
        <f>IF(OR(D16="LINKED RECORD",D16="LINKED RECORDS"),INDEX('Table Dictionary'!$A$7:$A$39,MATCH(INDEX('Field Dictionary'!$J$7:$J$500,MATCH(INDEX('Table Dictionary'!$C$7:$C$39,MATCH($B$3,'Table Dictionary'!$A$7:$A$39,0))&amp;"-F"&amp;TEXT(A16,"00"),'Field Dictionary'!$C$7:$C$500,0)),'Table Dictionary'!$C$7:$C$39,0)),"")</f>
        <v>Requirement Fulfillment</v>
      </c>
      <c r="F16" s="4" t="str">
        <f>IF(B16="","",HYPERLINK("#'Field Dictionary'!A"&amp;(MATCH(INDEX('Table Dictionary'!$C$7:$C$39,MATCH($B$3,'Table Dictionary'!$A$7:$A$39,0))&amp;"-F"&amp;TEXT(A16,"00"),'Field Dictionary'!$C$7:$C$500,0)+6),"Read field rule"))</f>
        <v>Read field rule</v>
      </c>
    </row>
    <row r="17" spans="1:6" ht="86.1" customHeight="1" x14ac:dyDescent="0.2">
      <c r="A17" s="2">
        <v>9</v>
      </c>
      <c r="B17"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Lifecycle'!A5:P5),1,A17),"")</f>
        <v>9 — Caption</v>
      </c>
      <c r="C17" s="2" t="str">
        <f>IF(B17="","",IF(COUNTIFS(CHOOSE(MATCH($B$3,'Table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Lifecycle'!C7:C1200),0),A17)="","",INDEX(CHOOSE(MATCH($B$3,'Table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Lifecycle'!C7:C1200),0),A17))))</f>
        <v>EFFECTS-64 declares the common root envelope. Specialist mode uses &lt;R&gt; semantic continuation. Assembly membership, graph wiring, formula details, target application, realization and global scheduling retain their named owners.</v>
      </c>
      <c r="D17" s="2" t="str">
        <f>IF(B17="","",INDEX('Field Dictionary'!$G$7:$G$500,MATCH(INDEX('Table Dictionary'!$C$7:$C$39,MATCH($B$3,'Table Dictionary'!$A$7:$A$39,0))&amp;"-F"&amp;TEXT(A17,"00"),'Field Dictionary'!$C$7:$C$500,0)))</f>
        <v>LONG TEXT</v>
      </c>
      <c r="E17" s="2" t="str">
        <f>IF(OR(D17="LINKED RECORD",D17="LINKED RECORDS"),INDEX('Table Dictionary'!$A$7:$A$39,MATCH(INDEX('Field Dictionary'!$J$7:$J$500,MATCH(INDEX('Table Dictionary'!$C$7:$C$39,MATCH($B$3,'Table Dictionary'!$A$7:$A$39,0))&amp;"-F"&amp;TEXT(A17,"00"),'Field Dictionary'!$C$7:$C$500,0)),'Table Dictionary'!$C$7:$C$39,0)),"")</f>
        <v/>
      </c>
      <c r="F17" s="4" t="str">
        <f>IF(B17="","",HYPERLINK("#'Field Dictionary'!A"&amp;(MATCH(INDEX('Table Dictionary'!$C$7:$C$39,MATCH($B$3,'Table Dictionary'!$A$7:$A$39,0))&amp;"-F"&amp;TEXT(A17,"00"),'Field Dictionary'!$C$7:$C$500,0)+6),"Read field rule"))</f>
        <v>Read field rule</v>
      </c>
    </row>
    <row r="18" spans="1:6" ht="86.1" customHeight="1" x14ac:dyDescent="0.2">
      <c r="A18" s="2">
        <v>10</v>
      </c>
      <c r="B18"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Lifecycle'!A5:P5),1,A18),"")</f>
        <v>10 — Alternative Text</v>
      </c>
      <c r="C18" s="2" t="str">
        <f>IF(B18="","",IF(COUNTIFS(CHOOSE(MATCH($B$3,'Table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Lifecycle'!C7:C1200),0),A18)="","",INDEX(CHOOSE(MATCH($B$3,'Table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Lifecycle'!C7:C1200),0),A18))))</f>
        <v>EFFECTS-64 declares the common root envelope. Specialist mode uses &lt;R&gt; semantic continuation. Assembly membership, graph wiring, formula details, target application, realization and global scheduling retain their named owners.</v>
      </c>
      <c r="D18" s="2" t="str">
        <f>IF(B18="","",INDEX('Field Dictionary'!$G$7:$G$500,MATCH(INDEX('Table Dictionary'!$C$7:$C$39,MATCH($B$3,'Table Dictionary'!$A$7:$A$39,0))&amp;"-F"&amp;TEXT(A18,"00"),'Field Dictionary'!$C$7:$C$500,0)))</f>
        <v>LONG TEXT</v>
      </c>
      <c r="E18" s="2" t="str">
        <f>IF(OR(D18="LINKED RECORD",D18="LINKED RECORDS"),INDEX('Table Dictionary'!$A$7:$A$39,MATCH(INDEX('Field Dictionary'!$J$7:$J$500,MATCH(INDEX('Table Dictionary'!$C$7:$C$39,MATCH($B$3,'Table Dictionary'!$A$7:$A$39,0))&amp;"-F"&amp;TEXT(A18,"00"),'Field Dictionary'!$C$7:$C$500,0)),'Table Dictionary'!$C$7:$C$39,0)),"")</f>
        <v/>
      </c>
      <c r="F18" s="4" t="str">
        <f>IF(B18="","",HYPERLINK("#'Field Dictionary'!A"&amp;(MATCH(INDEX('Table Dictionary'!$C$7:$C$39,MATCH($B$3,'Table Dictionary'!$A$7:$A$39,0))&amp;"-F"&amp;TEXT(A18,"00"),'Field Dictionary'!$C$7:$C$500,0)+6),"Read field rule"))</f>
        <v>Read field rule</v>
      </c>
    </row>
    <row r="19" spans="1:6" ht="86.1" customHeight="1" x14ac:dyDescent="0.2">
      <c r="A19" s="2">
        <v>11</v>
      </c>
      <c r="B19" s="2" t="str">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Lifecycle'!A5:P5),1,A19),"")</f>
        <v>11 — Implementation Notes</v>
      </c>
      <c r="C19" s="2" t="str">
        <f>IF(B19="","",IF(COUNTIFS(CHOOSE(MATCH($B$3,'Table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Lifecycle'!C7:C1200),0),A19)="","",INDEX(CHOOSE(MATCH($B$3,'Table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Lifecycle'!C7:C1200),0),A19))))</f>
        <v>Contracts and workflow links reconstructed. Original manifest approval note: approved in Wave C</v>
      </c>
      <c r="D19" s="2" t="str">
        <f>IF(B19="","",INDEX('Field Dictionary'!$G$7:$G$500,MATCH(INDEX('Table Dictionary'!$C$7:$C$39,MATCH($B$3,'Table Dictionary'!$A$7:$A$39,0))&amp;"-F"&amp;TEXT(A19,"00"),'Field Dictionary'!$C$7:$C$500,0)))</f>
        <v>LONG TEXT</v>
      </c>
      <c r="E19" s="2" t="str">
        <f>IF(OR(D19="LINKED RECORD",D19="LINKED RECORDS"),INDEX('Table Dictionary'!$A$7:$A$39,MATCH(INDEX('Field Dictionary'!$J$7:$J$500,MATCH(INDEX('Table Dictionary'!$C$7:$C$39,MATCH($B$3,'Table Dictionary'!$A$7:$A$39,0))&amp;"-F"&amp;TEXT(A19,"00"),'Field Dictionary'!$C$7:$C$500,0)),'Table Dictionary'!$C$7:$C$39,0)),"")</f>
        <v/>
      </c>
      <c r="F19" s="4" t="str">
        <f>IF(B19="","",HYPERLINK("#'Field Dictionary'!A"&amp;(MATCH(INDEX('Table Dictionary'!$C$7:$C$39,MATCH($B$3,'Table Dictionary'!$A$7:$A$39,0))&amp;"-F"&amp;TEXT(A19,"00"),'Field Dictionary'!$C$7:$C$500,0)+6),"Read field rule"))</f>
        <v>Read field rule</v>
      </c>
    </row>
    <row r="20" spans="1:6" ht="86.1" customHeight="1" x14ac:dyDescent="0.2">
      <c r="A20" s="2">
        <v>12</v>
      </c>
      <c r="B20" s="2">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Lifecycle'!A5:P5),1,A20),"")</f>
        <v>0</v>
      </c>
      <c r="C20" s="2" t="str">
        <f>IF(B20="","",IF(COUNTIFS(CHOOSE(MATCH($B$3,'Table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Lifecycle'!C7:C1200),0),A20)="","",INDEX(CHOOSE(MATCH($B$3,'Table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Lifecycle'!C7:C1200),0),A20))))</f>
        <v/>
      </c>
      <c r="D20" s="2" t="e">
        <f>IF(B20="","",INDEX('Field Dictionary'!$G$7:$G$500,MATCH(INDEX('Table Dictionary'!$C$7:$C$39,MATCH($B$3,'Table Dictionary'!$A$7:$A$39,0))&amp;"-F"&amp;TEXT(A20,"00"),'Field Dictionary'!$C$7:$C$500,0)))</f>
        <v>#N/A</v>
      </c>
      <c r="E20" s="2" t="e">
        <f>IF(OR(D20="LINKED RECORD",D20="LINKED RECORDS"),INDEX('Table Dictionary'!$A$7:$A$39,MATCH(INDEX('Field Dictionary'!$J$7:$J$500,MATCH(INDEX('Table Dictionary'!$C$7:$C$39,MATCH($B$3,'Table Dictionary'!$A$7:$A$39,0))&amp;"-F"&amp;TEXT(A20,"00"),'Field Dictionary'!$C$7:$C$500,0)),'Table Dictionary'!$C$7:$C$39,0)),"")</f>
        <v>#N/A</v>
      </c>
      <c r="F20" s="4" t="e">
        <f>IF(B20="","",HYPERLINK("#'Field Dictionary'!A"&amp;(MATCH(INDEX('Table Dictionary'!$C$7:$C$39,MATCH($B$3,'Table Dictionary'!$A$7:$A$39,0))&amp;"-F"&amp;TEXT(A20,"00"),'Field Dictionary'!$C$7:$C$500,0)+6),"Read field rule"))</f>
        <v>#N/A</v>
      </c>
    </row>
    <row r="21" spans="1:6" ht="86.1" customHeight="1" x14ac:dyDescent="0.2">
      <c r="A21" s="2">
        <v>13</v>
      </c>
      <c r="B21" s="2">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Lifecycle'!A5:P5),1,A21),"")</f>
        <v>0</v>
      </c>
      <c r="C21" s="2" t="str">
        <f>IF(B21="","",IF(COUNTIFS(CHOOSE(MATCH($B$3,'Table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Lifecycle'!C7:C1200),0),A21)="","",INDEX(CHOOSE(MATCH($B$3,'Table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Lifecycle'!C7:C1200),0),A21))))</f>
        <v/>
      </c>
      <c r="D21" s="2" t="e">
        <f>IF(B21="","",INDEX('Field Dictionary'!$G$7:$G$500,MATCH(INDEX('Table Dictionary'!$C$7:$C$39,MATCH($B$3,'Table Dictionary'!$A$7:$A$39,0))&amp;"-F"&amp;TEXT(A21,"00"),'Field Dictionary'!$C$7:$C$500,0)))</f>
        <v>#N/A</v>
      </c>
      <c r="E21" s="2" t="e">
        <f>IF(OR(D21="LINKED RECORD",D21="LINKED RECORDS"),INDEX('Table Dictionary'!$A$7:$A$39,MATCH(INDEX('Field Dictionary'!$J$7:$J$500,MATCH(INDEX('Table Dictionary'!$C$7:$C$39,MATCH($B$3,'Table Dictionary'!$A$7:$A$39,0))&amp;"-F"&amp;TEXT(A21,"00"),'Field Dictionary'!$C$7:$C$500,0)),'Table Dictionary'!$C$7:$C$39,0)),"")</f>
        <v>#N/A</v>
      </c>
      <c r="F21" s="4" t="e">
        <f>IF(B21="","",HYPERLINK("#'Field Dictionary'!A"&amp;(MATCH(INDEX('Table Dictionary'!$C$7:$C$39,MATCH($B$3,'Table Dictionary'!$A$7:$A$39,0))&amp;"-F"&amp;TEXT(A21,"00"),'Field Dictionary'!$C$7:$C$500,0)+6),"Read field rule"))</f>
        <v>#N/A</v>
      </c>
    </row>
    <row r="22" spans="1:6" ht="86.1" customHeight="1" x14ac:dyDescent="0.2">
      <c r="A22" s="2">
        <v>14</v>
      </c>
      <c r="B22" s="2">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Lifecycle'!A5:P5),1,A22),"")</f>
        <v>0</v>
      </c>
      <c r="C22" s="2" t="str">
        <f>IF(B22="","",IF(COUNTIFS(CHOOSE(MATCH($B$3,'Table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Lifecycle'!C7:C1200),0),A22)="","",INDEX(CHOOSE(MATCH($B$3,'Table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Lifecycle'!C7:C1200),0),A22))))</f>
        <v/>
      </c>
      <c r="D22" s="2" t="e">
        <f>IF(B22="","",INDEX('Field Dictionary'!$G$7:$G$500,MATCH(INDEX('Table Dictionary'!$C$7:$C$39,MATCH($B$3,'Table Dictionary'!$A$7:$A$39,0))&amp;"-F"&amp;TEXT(A22,"00"),'Field Dictionary'!$C$7:$C$500,0)))</f>
        <v>#N/A</v>
      </c>
      <c r="E22" s="2" t="e">
        <f>IF(OR(D22="LINKED RECORD",D22="LINKED RECORDS"),INDEX('Table Dictionary'!$A$7:$A$39,MATCH(INDEX('Field Dictionary'!$J$7:$J$500,MATCH(INDEX('Table Dictionary'!$C$7:$C$39,MATCH($B$3,'Table Dictionary'!$A$7:$A$39,0))&amp;"-F"&amp;TEXT(A22,"00"),'Field Dictionary'!$C$7:$C$500,0)),'Table Dictionary'!$C$7:$C$39,0)),"")</f>
        <v>#N/A</v>
      </c>
      <c r="F22" s="4" t="e">
        <f>IF(B22="","",HYPERLINK("#'Field Dictionary'!A"&amp;(MATCH(INDEX('Table Dictionary'!$C$7:$C$39,MATCH($B$3,'Table Dictionary'!$A$7:$A$39,0))&amp;"-F"&amp;TEXT(A22,"00"),'Field Dictionary'!$C$7:$C$500,0)+6),"Read field rule"))</f>
        <v>#N/A</v>
      </c>
    </row>
    <row r="23" spans="1:6" ht="86.1" customHeight="1" x14ac:dyDescent="0.2">
      <c r="A23" s="2">
        <v>15</v>
      </c>
      <c r="B23" s="2">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Lifecycle'!A5:P5),1,A23),"")</f>
        <v>0</v>
      </c>
      <c r="C23" s="2" t="str">
        <f>IF(B23="","",IF(COUNTIFS(CHOOSE(MATCH($B$3,'Table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Lifecycle'!C7:C1200),0),A23)="","",INDEX(CHOOSE(MATCH($B$3,'Table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Lifecycle'!C7:C1200),0),A23))))</f>
        <v/>
      </c>
      <c r="D23" s="2" t="e">
        <f>IF(B23="","",INDEX('Field Dictionary'!$G$7:$G$500,MATCH(INDEX('Table Dictionary'!$C$7:$C$39,MATCH($B$3,'Table Dictionary'!$A$7:$A$39,0))&amp;"-F"&amp;TEXT(A23,"00"),'Field Dictionary'!$C$7:$C$500,0)))</f>
        <v>#N/A</v>
      </c>
      <c r="E23" s="2" t="e">
        <f>IF(OR(D23="LINKED RECORD",D23="LINKED RECORDS"),INDEX('Table Dictionary'!$A$7:$A$39,MATCH(INDEX('Field Dictionary'!$J$7:$J$500,MATCH(INDEX('Table Dictionary'!$C$7:$C$39,MATCH($B$3,'Table Dictionary'!$A$7:$A$39,0))&amp;"-F"&amp;TEXT(A23,"00"),'Field Dictionary'!$C$7:$C$500,0)),'Table Dictionary'!$C$7:$C$39,0)),"")</f>
        <v>#N/A</v>
      </c>
      <c r="F23" s="4" t="e">
        <f>IF(B23="","",HYPERLINK("#'Field Dictionary'!A"&amp;(MATCH(INDEX('Table Dictionary'!$C$7:$C$39,MATCH($B$3,'Table Dictionary'!$A$7:$A$39,0))&amp;"-F"&amp;TEXT(A23,"00"),'Field Dictionary'!$C$7:$C$500,0)+6),"Read field rule"))</f>
        <v>#N/A</v>
      </c>
    </row>
    <row r="24" spans="1:6" ht="86.1" customHeight="1" x14ac:dyDescent="0.2">
      <c r="A24" s="2">
        <v>16</v>
      </c>
      <c r="B24" s="2">
        <f>IFERROR(INDEX(CHOOSE(MATCH($B$3,'Table Dictionary'!$A$7:$A$39,0),Projects!A5:P5,'Pass Definitions'!A5:P5,'Pass Runs'!A5:P5,Instructions!A5:P5,'Record Revisions'!A5:P5,Sources!A5:P5,'Content Items'!A5:P5,'Figure Contracts'!A5:P5,'Asset Requirements'!A5:P5,'File Revisions'!A5:P5,'Figure Outputs'!A5:P5,'Document Placements'!A5:P5,Dependencies!A5:P5,Checks!A5:P5,Issues!A5:P5,Approvals!A5:P5,Releases!A5:P5,'Table Dictionary'!A5:P5,'Field Dictionary'!A5:P5,'Source Support'!A5:P5,'Figure Coverage'!A5:P5,'Figure Requirements'!A5:P5,'Requirement Fulfillment'!A5:P5,'Run Artifacts'!A5:P5,'Document Plans'!A5:P5,Templates!A5:P5,'Template Slots'!A5:P5,Rulesets!A5:P5,Rules!A5:P5,Themes!A5:P5,'Assembly Components'!A5:P5,'Generation Requests'!A5:P5,'Asset Lifecycle'!A5:P5),1,A24),"")</f>
        <v>0</v>
      </c>
      <c r="C24" s="2" t="str">
        <f>IF(B24="","",IF(COUNTIFS(CHOOSE(MATCH($B$3,'Table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Lifecycle'!C7:C1200),$B$4)&lt;&gt;1,"SELECT UNIQUE ID",IF(INDEX(CHOOSE(MATCH($B$3,'Table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Lifecycle'!C7:C1200),0),A24)="","",INDEX(CHOOSE(MATCH($B$3,'Table Dictionary'!$A$7:$A$39,0),Projects!A7:P1200,'Pass Definitions'!A7:P1200,'Pass Runs'!A7:P1200,Instructions!A7:P1200,'Record Revisions'!A7:P1200,Sources!A7:P1200,'Content Items'!A7:P1200,'Figure Contracts'!A7:P1200,'Asset Requirements'!A7:P1200,'File Revisions'!A7:P1200,'Figure Outputs'!A7:P1200,'Document Placements'!A7:P1200,Dependencies!A7:P1200,Checks!A7:P1200,Issues!A7:P1200,Approvals!A7:P1200,Releases!A7:P1200,'Table Dictionary'!A7:P1200,'Field Dictionary'!A7:P1200,'Source Support'!A7:P1200,'Figure Coverage'!A7:P1200,'Figure Requirements'!A7:P1200,'Requirement Fulfillment'!A7:P1200,'Run Artifacts'!A7:P1200,'Document Plans'!A7:P1200,Templates!A7:P1200,'Template Slots'!A7:P1200,Rulesets!A7:P1200,Rules!A7:P1200,Themes!A7:P1200,'Assembly Components'!A7:P1200,'Generation Requests'!A7:P1200,'Asset Lifecycle'!A7:P1200),MATCH($B$4,CHOOSE(MATCH($B$3,'Table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Lifecycle'!C7:C1200),0),A24))))</f>
        <v/>
      </c>
      <c r="D24" s="2" t="e">
        <f>IF(B24="","",INDEX('Field Dictionary'!$G$7:$G$500,MATCH(INDEX('Table Dictionary'!$C$7:$C$39,MATCH($B$3,'Table Dictionary'!$A$7:$A$39,0))&amp;"-F"&amp;TEXT(A24,"00"),'Field Dictionary'!$C$7:$C$500,0)))</f>
        <v>#N/A</v>
      </c>
      <c r="E24" s="2" t="e">
        <f>IF(OR(D24="LINKED RECORD",D24="LINKED RECORDS"),INDEX('Table Dictionary'!$A$7:$A$39,MATCH(INDEX('Field Dictionary'!$J$7:$J$500,MATCH(INDEX('Table Dictionary'!$C$7:$C$39,MATCH($B$3,'Table Dictionary'!$A$7:$A$39,0))&amp;"-F"&amp;TEXT(A24,"00"),'Field Dictionary'!$C$7:$C$500,0)),'Table Dictionary'!$C$7:$C$39,0)),"")</f>
        <v>#N/A</v>
      </c>
      <c r="F24" s="4" t="e">
        <f>IF(B24="","",HYPERLINK("#'Field Dictionary'!A"&amp;(MATCH(INDEX('Table Dictionary'!$C$7:$C$39,MATCH($B$3,'Table Dictionary'!$A$7:$A$39,0))&amp;"-F"&amp;TEXT(A24,"00"),'Field Dictionary'!$C$7:$C$500,0)+6),"Read field rule"))</f>
        <v>#N/A</v>
      </c>
    </row>
    <row r="25" spans="1:6" x14ac:dyDescent="0.2">
      <c r="A25" s="2"/>
      <c r="B25" s="2"/>
      <c r="C25" s="2"/>
      <c r="D25" s="2"/>
      <c r="E25" s="2"/>
      <c r="F25" s="2"/>
    </row>
    <row r="26" spans="1:6" ht="36" customHeight="1" x14ac:dyDescent="0.2">
      <c r="A26" s="2" t="s">
        <v>50</v>
      </c>
      <c r="B26" s="2" t="str">
        <f>IF(AND(B5&gt;=1,B5&lt;=16),INDEX(E9:E24,B5),"")</f>
        <v>Figure Contracts</v>
      </c>
      <c r="C26" s="2"/>
      <c r="D26" s="2"/>
      <c r="E26" s="2"/>
      <c r="F26" s="2"/>
    </row>
    <row r="27" spans="1:6" ht="36" customHeight="1" x14ac:dyDescent="0.2">
      <c r="A27" s="2" t="s">
        <v>52</v>
      </c>
      <c r="B27" s="2" t="str">
        <f>IF(B26="","",IF(INDEX(D9:D24,B5)="LINKED RECORD",INDEX(C9:C24,B5),TRIM(MID(SUBSTITUTE(SUBSTITUTE(SUBSTITUTE(SUBSTITUTE(INDEX(C9:C24,B5),"[",""),"]",""),CHAR(34),""),",",REPT(" ",256)),(B6-1)*256+1,256))))</f>
        <v>CONTRACT-F01</v>
      </c>
      <c r="C27" s="2"/>
      <c r="D27" s="2"/>
      <c r="E27" s="2"/>
      <c r="F27" s="2"/>
    </row>
    <row r="28" spans="1:6" ht="36" customHeight="1" x14ac:dyDescent="0.2">
      <c r="A28" s="2" t="s">
        <v>53</v>
      </c>
      <c r="B28" s="4" t="str">
        <f>IF(OR(B26="",B27=""),"Select a populated link",IF(COUNTIFS(CHOOSE(MATCH(B26,'Table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Lifecycle'!C7:C1200),B27)&lt;&gt;1,"BROKEN OR DUPLICATE",HYPERLINK("#'"&amp;B26&amp;"'!A"&amp;(MATCH(B27,CHOOSE(MATCH(B26,'Table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Lifecycle'!C7:C1200),0)+6),"OPEN TARGET RECORD")))</f>
        <v>OPEN TARGET RECORD</v>
      </c>
      <c r="C28" s="2"/>
      <c r="D28" s="2"/>
      <c r="E28" s="2"/>
      <c r="F28" s="2"/>
    </row>
    <row r="29" spans="1:6" ht="36" customHeight="1" x14ac:dyDescent="0.2">
      <c r="A29" s="2" t="s">
        <v>54</v>
      </c>
      <c r="B29" s="2" t="str">
        <f>IF(B26="","Not a link field",IF(B27="","Empty link",IF(COUNTIFS(CHOOSE(MATCH(B26,'Table Dictionary'!$A$7:$A$39,0),Projects!C7:C1200,'Pass Definitions'!C7:C1200,'Pass Runs'!C7:C1200,Instructions!C7:C1200,'Record Revisions'!C7:C1200,Sources!C7:C1200,'Content Items'!C7:C1200,'Figure Contracts'!C7:C1200,'Asset Requirements'!C7:C1200,'File Revisions'!C7:C1200,'Figure Outputs'!C7:C1200,'Document Placements'!C7:C1200,Dependencies!C7:C1200,Checks!C7:C1200,Issues!C7:C1200,Approvals!C7:C1200,Releases!C7:C1200,'Table Dictionary'!C7:C1200,'Field Dictionary'!C7:C1200,'Source Support'!C7:C1200,'Figure Coverage'!C7:C1200,'Figure Requirements'!C7:C1200,'Requirement Fulfillment'!C7:C1200,'Run Artifacts'!C7:C1200,'Document Plans'!C7:C1200,Templates!C7:C1200,'Template Slots'!C7:C1200,Rulesets!C7:C1200,Rules!C7:C1200,Themes!C7:C1200,'Assembly Components'!C7:C1200,'Generation Requests'!C7:C1200,'Asset Lifecycle'!C7:C1200),B27)=1,"RESOLVED","BROKEN OR DUPLICATE")))</f>
        <v>RESOLVED</v>
      </c>
      <c r="C29" s="2"/>
      <c r="D29" s="2"/>
      <c r="E29" s="2"/>
      <c r="F29" s="2"/>
    </row>
    <row r="30" spans="1:6" x14ac:dyDescent="0.2">
      <c r="A30" s="2"/>
      <c r="B30" s="2"/>
      <c r="C30" s="2"/>
      <c r="D30" s="2"/>
      <c r="E30" s="2"/>
      <c r="F30" s="2"/>
    </row>
  </sheetData>
  <mergeCells count="2">
    <mergeCell ref="A1:F1"/>
    <mergeCell ref="D3:F6"/>
  </mergeCells>
  <dataValidations count="3">
    <dataValidation type="list" sqref="B3" xr:uid="{00000000-0002-0000-0100-000000000000}">
      <formula1>og_list_1</formula1>
    </dataValidation>
    <dataValidation type="list" sqref="B4" xr:uid="{00000000-0002-0000-0100-000001000000}">
      <formula1>INDIRECT("'"&amp;$B$3&amp;"'!$C$7:$C$1200")</formula1>
    </dataValidation>
    <dataValidation type="whole" sqref="B5:B6" xr:uid="{00000000-0002-0000-0100-000002000000}">
      <formula1>1</formula1>
      <formula2>1000</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0"/>
  <sheetViews>
    <sheetView showGridLines="0" workbookViewId="0"/>
  </sheetViews>
  <sheetFormatPr defaultRowHeight="15" x14ac:dyDescent="0.2"/>
  <cols>
    <col min="1" max="1" width="22.05859375" customWidth="1"/>
    <col min="2" max="2" width="110.0390625" customWidth="1"/>
  </cols>
  <sheetData>
    <row r="1" spans="1:2" x14ac:dyDescent="0.2">
      <c r="A1" s="14" t="s">
        <v>55</v>
      </c>
      <c r="B1" s="12"/>
    </row>
    <row r="2" spans="1:2" x14ac:dyDescent="0.2">
      <c r="A2" s="2" t="str">
        <f>HYPERLINK("#Home!A1","Home")</f>
        <v>Home</v>
      </c>
      <c r="B2" s="2"/>
    </row>
    <row r="3" spans="1:2" x14ac:dyDescent="0.2">
      <c r="A3" s="2"/>
      <c r="B3" s="2"/>
    </row>
    <row r="4" spans="1:2" ht="60" customHeight="1" x14ac:dyDescent="0.2">
      <c r="A4" s="4" t="s">
        <v>56</v>
      </c>
      <c r="B4" s="2" t="s">
        <v>57</v>
      </c>
    </row>
    <row r="5" spans="1:2" ht="60" customHeight="1" x14ac:dyDescent="0.2">
      <c r="A5" s="4" t="s">
        <v>58</v>
      </c>
      <c r="B5" s="2" t="s">
        <v>59</v>
      </c>
    </row>
    <row r="6" spans="1:2" ht="60" customHeight="1" x14ac:dyDescent="0.2">
      <c r="A6" s="4" t="s">
        <v>60</v>
      </c>
      <c r="B6" s="2" t="s">
        <v>61</v>
      </c>
    </row>
    <row r="7" spans="1:2" ht="60" customHeight="1" x14ac:dyDescent="0.2">
      <c r="A7" s="4" t="s">
        <v>62</v>
      </c>
      <c r="B7" s="2" t="s">
        <v>63</v>
      </c>
    </row>
    <row r="8" spans="1:2" ht="60" customHeight="1" x14ac:dyDescent="0.2">
      <c r="A8" s="4" t="s">
        <v>64</v>
      </c>
      <c r="B8" s="2" t="s">
        <v>65</v>
      </c>
    </row>
    <row r="9" spans="1:2" ht="60" customHeight="1" x14ac:dyDescent="0.2">
      <c r="A9" s="4" t="s">
        <v>66</v>
      </c>
      <c r="B9" s="2" t="s">
        <v>67</v>
      </c>
    </row>
    <row r="10" spans="1:2" ht="60" customHeight="1" x14ac:dyDescent="0.2">
      <c r="A10" s="4" t="s">
        <v>68</v>
      </c>
      <c r="B10" s="2" t="s">
        <v>69</v>
      </c>
    </row>
    <row r="11" spans="1:2" ht="60" customHeight="1" x14ac:dyDescent="0.2">
      <c r="A11" s="4" t="s">
        <v>70</v>
      </c>
      <c r="B11" s="2" t="s">
        <v>71</v>
      </c>
    </row>
    <row r="12" spans="1:2" ht="60" customHeight="1" x14ac:dyDescent="0.2">
      <c r="A12" s="4" t="s">
        <v>72</v>
      </c>
      <c r="B12" s="2" t="s">
        <v>73</v>
      </c>
    </row>
    <row r="13" spans="1:2" ht="60" customHeight="1" x14ac:dyDescent="0.2">
      <c r="A13" s="4" t="s">
        <v>74</v>
      </c>
      <c r="B13" s="2" t="s">
        <v>75</v>
      </c>
    </row>
    <row r="14" spans="1:2" ht="60" customHeight="1" x14ac:dyDescent="0.2">
      <c r="A14" s="4" t="s">
        <v>76</v>
      </c>
      <c r="B14" s="2" t="s">
        <v>77</v>
      </c>
    </row>
    <row r="15" spans="1:2" ht="60" customHeight="1" x14ac:dyDescent="0.2">
      <c r="A15" s="4" t="s">
        <v>78</v>
      </c>
      <c r="B15" s="2" t="s">
        <v>79</v>
      </c>
    </row>
    <row r="16" spans="1:2" ht="60" customHeight="1" x14ac:dyDescent="0.2">
      <c r="A16" s="4" t="s">
        <v>80</v>
      </c>
      <c r="B16" s="2" t="s">
        <v>81</v>
      </c>
    </row>
    <row r="17" spans="1:2" ht="60" customHeight="1" x14ac:dyDescent="0.2">
      <c r="A17" s="4" t="s">
        <v>82</v>
      </c>
      <c r="B17" s="2" t="s">
        <v>83</v>
      </c>
    </row>
    <row r="18" spans="1:2" ht="60" customHeight="1" x14ac:dyDescent="0.2">
      <c r="A18" s="4" t="s">
        <v>84</v>
      </c>
      <c r="B18" s="2" t="s">
        <v>85</v>
      </c>
    </row>
    <row r="19" spans="1:2" ht="60" customHeight="1" x14ac:dyDescent="0.2">
      <c r="A19" s="4" t="s">
        <v>86</v>
      </c>
      <c r="B19" s="2" t="s">
        <v>87</v>
      </c>
    </row>
    <row r="20" spans="1:2" ht="60" customHeight="1" x14ac:dyDescent="0.2">
      <c r="A20" s="4" t="s">
        <v>88</v>
      </c>
      <c r="B20" s="2" t="s">
        <v>89</v>
      </c>
    </row>
    <row r="21" spans="1:2" ht="60" customHeight="1" x14ac:dyDescent="0.2">
      <c r="A21" s="4" t="s">
        <v>90</v>
      </c>
      <c r="B21" s="2" t="s">
        <v>91</v>
      </c>
    </row>
    <row r="22" spans="1:2" ht="60" customHeight="1" x14ac:dyDescent="0.2">
      <c r="A22" s="4" t="s">
        <v>92</v>
      </c>
      <c r="B22" s="2" t="s">
        <v>93</v>
      </c>
    </row>
    <row r="23" spans="1:2" ht="60" customHeight="1" x14ac:dyDescent="0.2">
      <c r="A23" s="4" t="s">
        <v>94</v>
      </c>
      <c r="B23" s="2" t="s">
        <v>95</v>
      </c>
    </row>
    <row r="24" spans="1:2" ht="60" customHeight="1" x14ac:dyDescent="0.2">
      <c r="A24" s="4" t="s">
        <v>96</v>
      </c>
      <c r="B24" s="2" t="s">
        <v>97</v>
      </c>
    </row>
    <row r="25" spans="1:2" x14ac:dyDescent="0.2">
      <c r="A25" s="2"/>
      <c r="B25" s="2"/>
    </row>
    <row r="26" spans="1:2" x14ac:dyDescent="0.2">
      <c r="A26" s="2"/>
      <c r="B26" s="2"/>
    </row>
    <row r="27" spans="1:2" x14ac:dyDescent="0.2">
      <c r="A27" s="2"/>
      <c r="B27" s="2"/>
    </row>
    <row r="28" spans="1:2" x14ac:dyDescent="0.2">
      <c r="A28" s="2"/>
      <c r="B28" s="2"/>
    </row>
    <row r="29" spans="1:2" x14ac:dyDescent="0.2">
      <c r="A29" s="2"/>
      <c r="B29" s="2"/>
    </row>
    <row r="30" spans="1:2" x14ac:dyDescent="0.2">
      <c r="A30" s="2"/>
      <c r="B30" s="2"/>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67E8F9"/>
  </sheetPr>
  <dimension ref="A1:O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6" width="48.0234375" customWidth="1"/>
    <col min="7" max="15" width="29.0546875" customWidth="1"/>
  </cols>
  <sheetData>
    <row r="1" spans="1:15" ht="21.75" x14ac:dyDescent="0.25">
      <c r="A1" s="3" t="s">
        <v>98</v>
      </c>
      <c r="B1" s="2"/>
      <c r="C1" s="2"/>
      <c r="D1" s="2"/>
      <c r="E1" s="2"/>
      <c r="F1" s="2"/>
      <c r="G1" s="2"/>
      <c r="H1" s="2"/>
      <c r="I1" s="2"/>
      <c r="J1" s="2"/>
      <c r="K1" s="2"/>
      <c r="L1" s="2"/>
      <c r="M1" s="2"/>
      <c r="N1" s="2"/>
      <c r="O1" s="2"/>
    </row>
    <row r="2" spans="1:15" x14ac:dyDescent="0.2">
      <c r="A2" s="2" t="str">
        <f>HYPERLINK("#'Home'!A1","Home")</f>
        <v>Home</v>
      </c>
      <c r="B2" s="2" t="str">
        <f>HYPERLINK("#'Reader'!A1","Read a record")</f>
        <v>Read a record</v>
      </c>
      <c r="C2" s="2"/>
      <c r="D2" s="2"/>
      <c r="E2" s="2"/>
      <c r="F2" s="2"/>
      <c r="G2" s="2"/>
      <c r="H2" s="2"/>
      <c r="I2" s="2"/>
      <c r="J2" s="2"/>
      <c r="K2" s="2"/>
      <c r="L2" s="2"/>
      <c r="M2" s="2"/>
      <c r="N2" s="2"/>
      <c r="O2" s="2"/>
    </row>
    <row r="3" spans="1:15" ht="45.95" customHeight="1" x14ac:dyDescent="0.2">
      <c r="A3" s="2" t="s">
        <v>99</v>
      </c>
      <c r="B3" s="2"/>
      <c r="C3" s="2"/>
      <c r="D3" s="2"/>
      <c r="E3" s="2"/>
      <c r="F3" s="2"/>
      <c r="G3" s="2"/>
      <c r="H3" s="2"/>
      <c r="I3" s="2"/>
      <c r="J3" s="2"/>
      <c r="K3" s="2"/>
      <c r="L3" s="2"/>
      <c r="M3" s="2"/>
      <c r="N3" s="2"/>
      <c r="O3" s="2"/>
    </row>
    <row r="4" spans="1:15" ht="16.5" x14ac:dyDescent="0.2">
      <c r="A4" s="4" t="str">
        <f>HYPERLINK("#'Field Dictionary'!A7","🐙📁 - 1 - SHORT TEXT")</f>
        <v>🐙📁 - 1 - SHORT TEXT</v>
      </c>
      <c r="B4" s="4" t="str">
        <f>HYPERLINK("#'Field Dictionary'!A8","🐙📁 - 2 - LONG TEXT")</f>
        <v>🐙📁 - 2 - LONG TEXT</v>
      </c>
      <c r="C4" s="4" t="str">
        <f>HYPERLINK("#'Field Dictionary'!A9","🐙📁 - 3 - SHORT TEXT")</f>
        <v>🐙📁 - 3 - SHORT TEXT</v>
      </c>
      <c r="D4" s="4" t="str">
        <f>HYPERLINK("#'Field Dictionary'!A10","🐙📁 - 4 - LINKED RECORD")</f>
        <v>🐙📁 - 4 - LINKED RECORD</v>
      </c>
      <c r="E4" s="4" t="str">
        <f>HYPERLINK("#'Field Dictionary'!A11","🐙📁 - 5 - SINGLE SELECT")</f>
        <v>🐙📁 - 5 - SINGLE SELECT</v>
      </c>
      <c r="F4" s="4" t="str">
        <f>HYPERLINK("#'Field Dictionary'!A12","🐙📁 - 6 - LONG TEXT")</f>
        <v>🐙📁 - 6 - LONG TEXT</v>
      </c>
      <c r="G4" s="4" t="str">
        <f>HYPERLINK("#'Field Dictionary'!A13","🐙📁 - 7 - LINKED RECORD")</f>
        <v>🐙📁 - 7 - LINKED RECORD</v>
      </c>
      <c r="H4" s="4" t="str">
        <f>HYPERLINK("#'Field Dictionary'!A14","🐙📁 - 8 - LINKED RECORD")</f>
        <v>🐙📁 - 8 - LINKED RECORD</v>
      </c>
      <c r="I4" s="4" t="str">
        <f>HYPERLINK("#'Field Dictionary'!A15","🐙📁 - 9 - LINKED RECORD")</f>
        <v>🐙📁 - 9 - LINKED RECORD</v>
      </c>
      <c r="J4" s="4" t="str">
        <f>HYPERLINK("#'Field Dictionary'!A16","🐙📁 - 10 - SINGLE SELECT")</f>
        <v>🐙📁 - 10 - SINGLE SELECT</v>
      </c>
      <c r="K4" s="4" t="str">
        <f>HYPERLINK("#'Field Dictionary'!A17","🐙📁 - 11 - SHORT TEXT")</f>
        <v>🐙📁 - 11 - SHORT TEXT</v>
      </c>
      <c r="L4" s="4" t="str">
        <f>HYPERLINK("#'Field Dictionary'!A18","🐙📁 - 12 - LINKED RECORD")</f>
        <v>🐙📁 - 12 - LINKED RECORD</v>
      </c>
      <c r="M4" s="4" t="str">
        <f>HYPERLINK("#'Field Dictionary'!A19","🐙📁 - 13 - LINKED RECORD")</f>
        <v>🐙📁 - 13 - LINKED RECORD</v>
      </c>
      <c r="N4" s="4" t="str">
        <f>HYPERLINK("#'Field Dictionary'!A20","🐙📁 - 14 - LINKED RECORD")</f>
        <v>🐙📁 - 14 - LINKED RECORD</v>
      </c>
      <c r="O4" s="4" t="str">
        <f>HYPERLINK("#'Field Dictionary'!A21","🐙📁 - 15 - SINGLE SELECT")</f>
        <v>🐙📁 - 15 - SINGLE SELECT</v>
      </c>
    </row>
    <row r="5" spans="1:15" ht="38.1" customHeight="1" x14ac:dyDescent="0.2">
      <c r="A5" s="7" t="s">
        <v>100</v>
      </c>
      <c r="B5" s="7" t="s">
        <v>101</v>
      </c>
      <c r="C5" s="7" t="s">
        <v>102</v>
      </c>
      <c r="D5" s="7" t="s">
        <v>103</v>
      </c>
      <c r="E5" s="7" t="s">
        <v>104</v>
      </c>
      <c r="F5" s="7" t="s">
        <v>105</v>
      </c>
      <c r="G5" s="7" t="s">
        <v>106</v>
      </c>
      <c r="H5" s="7" t="s">
        <v>107</v>
      </c>
      <c r="I5" s="7" t="s">
        <v>108</v>
      </c>
      <c r="J5" s="7" t="s">
        <v>109</v>
      </c>
      <c r="K5" s="7" t="s">
        <v>110</v>
      </c>
      <c r="L5" s="7" t="s">
        <v>111</v>
      </c>
      <c r="M5" s="7" t="s">
        <v>112</v>
      </c>
      <c r="N5" s="7" t="s">
        <v>113</v>
      </c>
      <c r="O5" s="7" t="s">
        <v>114</v>
      </c>
    </row>
    <row r="6" spans="1:15" ht="38.1" customHeight="1" x14ac:dyDescent="0.2">
      <c r="A6" s="7" t="s">
        <v>115</v>
      </c>
      <c r="B6" s="7" t="s">
        <v>116</v>
      </c>
      <c r="C6" s="7" t="s">
        <v>117</v>
      </c>
      <c r="D6" s="7" t="s">
        <v>118</v>
      </c>
      <c r="E6" s="7" t="s">
        <v>119</v>
      </c>
      <c r="F6" s="7" t="s">
        <v>120</v>
      </c>
      <c r="G6" s="7" t="s">
        <v>121</v>
      </c>
      <c r="H6" s="7" t="s">
        <v>122</v>
      </c>
      <c r="I6" s="7" t="s">
        <v>123</v>
      </c>
      <c r="J6" s="7" t="s">
        <v>124</v>
      </c>
      <c r="K6" s="7" t="s">
        <v>125</v>
      </c>
      <c r="L6" s="7" t="s">
        <v>126</v>
      </c>
      <c r="M6" s="7" t="s">
        <v>127</v>
      </c>
      <c r="N6" s="7" t="s">
        <v>128</v>
      </c>
      <c r="O6" s="7" t="s">
        <v>129</v>
      </c>
    </row>
    <row r="7" spans="1:15" ht="50.1" customHeight="1" x14ac:dyDescent="0.2">
      <c r="A7" s="5" t="s">
        <v>130</v>
      </c>
      <c r="B7" s="5" t="s">
        <v>131</v>
      </c>
      <c r="C7" s="5" t="s">
        <v>132</v>
      </c>
      <c r="D7" s="5"/>
      <c r="E7" s="5" t="s">
        <v>133</v>
      </c>
      <c r="F7" s="5" t="s">
        <v>134</v>
      </c>
      <c r="G7" s="5"/>
      <c r="H7" s="5"/>
      <c r="I7" s="5"/>
      <c r="J7" s="5" t="s">
        <v>135</v>
      </c>
      <c r="K7" s="5" t="s">
        <v>136</v>
      </c>
      <c r="L7" s="5" t="s">
        <v>137</v>
      </c>
      <c r="M7" s="5" t="s">
        <v>138</v>
      </c>
      <c r="N7" s="5" t="s">
        <v>139</v>
      </c>
      <c r="O7" s="5" t="s">
        <v>70</v>
      </c>
    </row>
    <row r="8" spans="1:15" ht="57" customHeight="1" x14ac:dyDescent="0.2">
      <c r="A8" s="5" t="s">
        <v>140</v>
      </c>
      <c r="B8" s="5" t="s">
        <v>141</v>
      </c>
      <c r="C8" s="5" t="s">
        <v>142</v>
      </c>
      <c r="D8" s="5"/>
      <c r="E8" s="5" t="s">
        <v>143</v>
      </c>
      <c r="F8" s="5" t="s">
        <v>144</v>
      </c>
      <c r="G8" s="5"/>
      <c r="H8" s="5" t="s">
        <v>145</v>
      </c>
      <c r="I8" s="5" t="s">
        <v>146</v>
      </c>
      <c r="J8" s="5" t="s">
        <v>135</v>
      </c>
      <c r="K8" s="5" t="s">
        <v>147</v>
      </c>
      <c r="L8" s="5" t="s">
        <v>137</v>
      </c>
      <c r="M8" s="5" t="s">
        <v>138</v>
      </c>
      <c r="N8" s="5" t="s">
        <v>139</v>
      </c>
      <c r="O8" s="5" t="s">
        <v>70</v>
      </c>
    </row>
    <row r="9" spans="1:15" ht="57" customHeight="1" x14ac:dyDescent="0.2">
      <c r="A9" s="5" t="s">
        <v>148</v>
      </c>
      <c r="B9" s="5" t="s">
        <v>149</v>
      </c>
      <c r="C9" s="5" t="s">
        <v>150</v>
      </c>
      <c r="D9" s="5"/>
      <c r="E9" s="5" t="s">
        <v>151</v>
      </c>
      <c r="F9" s="5" t="s">
        <v>152</v>
      </c>
      <c r="G9" s="5" t="s">
        <v>153</v>
      </c>
      <c r="H9" s="5" t="s">
        <v>154</v>
      </c>
      <c r="I9" s="5" t="s">
        <v>155</v>
      </c>
      <c r="J9" s="5" t="s">
        <v>135</v>
      </c>
      <c r="K9" s="5" t="s">
        <v>147</v>
      </c>
      <c r="L9" s="5" t="s">
        <v>137</v>
      </c>
      <c r="M9" s="5" t="s">
        <v>138</v>
      </c>
      <c r="N9" s="5" t="s">
        <v>139</v>
      </c>
      <c r="O9" s="5" t="s">
        <v>70</v>
      </c>
    </row>
  </sheetData>
  <conditionalFormatting sqref="J7:J1200">
    <cfRule type="containsText" dxfId="11" priority="1" operator="containsText" text="BLOCK"/>
  </conditionalFormatting>
  <dataValidations count="9">
    <dataValidation type="list" sqref="D7:D1200 I7:I1200" xr:uid="{00000000-0002-0000-0300-000000000000}">
      <formula1>og_list_2</formula1>
    </dataValidation>
    <dataValidation type="list" sqref="E7:E1200" xr:uid="{00000000-0002-0000-0300-000001000000}">
      <formula1>"TEMPLATE,LIVE PROJECT,WORKED EXAMPLE"</formula1>
    </dataValidation>
    <dataValidation type="list" sqref="G7:G1200" xr:uid="{00000000-0002-0000-0300-000002000000}">
      <formula1>og_list_3</formula1>
    </dataValidation>
    <dataValidation type="list" sqref="H7:H1200" xr:uid="{00000000-0002-0000-0300-000003000000}">
      <formula1>og_list_4</formula1>
    </dataValidation>
    <dataValidation type="list" sqref="J7:J1200" xr:uid="{00000000-0002-0000-0300-000005000000}">
      <formula1>"NOT STARTED,ACTIVE,READY FOR REVIEW,BLOCKED,COMPLETE"</formula1>
    </dataValidation>
    <dataValidation type="list" sqref="L7:L1200" xr:uid="{00000000-0002-0000-0300-000006000000}">
      <formula1>og_list_5</formula1>
    </dataValidation>
    <dataValidation type="list" sqref="M7:M1200" xr:uid="{00000000-0002-0000-0300-000007000000}">
      <formula1>og_list_6</formula1>
    </dataValidation>
    <dataValidation type="list" sqref="N7:N1200" xr:uid="{00000000-0002-0000-0300-000008000000}">
      <formula1>og_list_7</formula1>
    </dataValidation>
    <dataValidation type="list" sqref="O7:O1200" xr:uid="{00000000-0002-0000-0300-000009000000}">
      <formula1>"SANDBOX"</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67E8F9"/>
  </sheetPr>
  <dimension ref="A1:L14"/>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4" width="29.0546875" customWidth="1"/>
    <col min="5" max="5" width="18.0234375" customWidth="1"/>
    <col min="6" max="11" width="48.0234375" customWidth="1"/>
    <col min="12" max="12" width="34.03125" customWidth="1"/>
  </cols>
  <sheetData>
    <row r="1" spans="1:12" ht="21.75" x14ac:dyDescent="0.25">
      <c r="A1" s="3" t="s">
        <v>156</v>
      </c>
      <c r="B1" s="2"/>
      <c r="C1" s="2"/>
      <c r="D1" s="2"/>
      <c r="E1" s="2"/>
      <c r="F1" s="2"/>
      <c r="G1" s="2"/>
      <c r="H1" s="2"/>
      <c r="I1" s="2"/>
      <c r="J1" s="2"/>
      <c r="K1" s="2"/>
      <c r="L1" s="2"/>
    </row>
    <row r="2" spans="1:12" x14ac:dyDescent="0.2">
      <c r="A2" s="2" t="str">
        <f>HYPERLINK("#'Home'!A1","Home")</f>
        <v>Home</v>
      </c>
      <c r="B2" s="2" t="str">
        <f>HYPERLINK("#'Reader'!A1","Read a record")</f>
        <v>Read a record</v>
      </c>
      <c r="C2" s="2"/>
      <c r="D2" s="2"/>
      <c r="E2" s="2"/>
      <c r="F2" s="2"/>
      <c r="G2" s="2"/>
      <c r="H2" s="2"/>
      <c r="I2" s="2"/>
      <c r="J2" s="2"/>
      <c r="K2" s="2"/>
      <c r="L2" s="2"/>
    </row>
    <row r="3" spans="1:12" ht="45.95" customHeight="1" x14ac:dyDescent="0.2">
      <c r="A3" s="2" t="s">
        <v>157</v>
      </c>
      <c r="B3" s="2"/>
      <c r="C3" s="2"/>
      <c r="D3" s="2"/>
      <c r="E3" s="2"/>
      <c r="F3" s="2"/>
      <c r="G3" s="2"/>
      <c r="H3" s="2"/>
      <c r="I3" s="2"/>
      <c r="J3" s="2"/>
      <c r="K3" s="2"/>
      <c r="L3" s="2"/>
    </row>
    <row r="4" spans="1:12" ht="16.5" x14ac:dyDescent="0.2">
      <c r="A4" s="4" t="str">
        <f>HYPERLINK("#'Field Dictionary'!A22","🐙📋 - 1 - SHORT TEXT")</f>
        <v>🐙📋 - 1 - SHORT TEXT</v>
      </c>
      <c r="B4" s="4" t="str">
        <f>HYPERLINK("#'Field Dictionary'!A23","🐙📋 - 2 - LONG TEXT")</f>
        <v>🐙📋 - 2 - LONG TEXT</v>
      </c>
      <c r="C4" s="4" t="str">
        <f>HYPERLINK("#'Field Dictionary'!A24","🐙📋 - 3 - SHORT TEXT")</f>
        <v>🐙📋 - 3 - SHORT TEXT</v>
      </c>
      <c r="D4" s="4" t="str">
        <f>HYPERLINK("#'Field Dictionary'!A25","🐙📋 - 4 - LINKED RECORD")</f>
        <v>🐙📋 - 4 - LINKED RECORD</v>
      </c>
      <c r="E4" s="4" t="str">
        <f>HYPERLINK("#'Field Dictionary'!A26","🐙📋 - 5 - INTEGER")</f>
        <v>🐙📋 - 5 - INTEGER</v>
      </c>
      <c r="F4" s="4" t="str">
        <f>HYPERLINK("#'Field Dictionary'!A27","🐙📋 - 6 - LONG TEXT")</f>
        <v>🐙📋 - 6 - LONG TEXT</v>
      </c>
      <c r="G4" s="4" t="str">
        <f>HYPERLINK("#'Field Dictionary'!A28","🐙📋 - 7 - LONG TEXT")</f>
        <v>🐙📋 - 7 - LONG TEXT</v>
      </c>
      <c r="H4" s="4" t="str">
        <f>HYPERLINK("#'Field Dictionary'!A29","🐙📋 - 8 - LONG TEXT")</f>
        <v>🐙📋 - 8 - LONG TEXT</v>
      </c>
      <c r="I4" s="4" t="str">
        <f>HYPERLINK("#'Field Dictionary'!A30","🐙📋 - 9 - LONG TEXT")</f>
        <v>🐙📋 - 9 - LONG TEXT</v>
      </c>
      <c r="J4" s="4" t="str">
        <f>HYPERLINK("#'Field Dictionary'!A31","🐙📋 - 10 - LONG TEXT")</f>
        <v>🐙📋 - 10 - LONG TEXT</v>
      </c>
      <c r="K4" s="4" t="str">
        <f>HYPERLINK("#'Field Dictionary'!A32","🐙📋 - 11 - LONG TEXT")</f>
        <v>🐙📋 - 11 - LONG TEXT</v>
      </c>
      <c r="L4" s="4" t="str">
        <f>HYPERLINK("#'Field Dictionary'!A33","🐙📋 - 12 - LINKED RECORDS")</f>
        <v>🐙📋 - 12 - LINKED RECORDS</v>
      </c>
    </row>
    <row r="5" spans="1:12" ht="38.1" customHeight="1" x14ac:dyDescent="0.2">
      <c r="A5" s="7" t="s">
        <v>100</v>
      </c>
      <c r="B5" s="7" t="s">
        <v>101</v>
      </c>
      <c r="C5" s="7" t="s">
        <v>102</v>
      </c>
      <c r="D5" s="7" t="s">
        <v>158</v>
      </c>
      <c r="E5" s="7" t="s">
        <v>159</v>
      </c>
      <c r="F5" s="7" t="s">
        <v>160</v>
      </c>
      <c r="G5" s="7" t="s">
        <v>161</v>
      </c>
      <c r="H5" s="7" t="s">
        <v>162</v>
      </c>
      <c r="I5" s="7" t="s">
        <v>163</v>
      </c>
      <c r="J5" s="7" t="s">
        <v>164</v>
      </c>
      <c r="K5" s="7" t="s">
        <v>165</v>
      </c>
      <c r="L5" s="7" t="s">
        <v>166</v>
      </c>
    </row>
    <row r="6" spans="1:12" ht="38.1" customHeight="1" x14ac:dyDescent="0.2">
      <c r="A6" s="7" t="s">
        <v>115</v>
      </c>
      <c r="B6" s="7" t="s">
        <v>116</v>
      </c>
      <c r="C6" s="7" t="s">
        <v>117</v>
      </c>
      <c r="D6" s="7" t="s">
        <v>167</v>
      </c>
      <c r="E6" s="7" t="s">
        <v>168</v>
      </c>
      <c r="F6" s="7" t="s">
        <v>169</v>
      </c>
      <c r="G6" s="7" t="s">
        <v>170</v>
      </c>
      <c r="H6" s="7" t="s">
        <v>171</v>
      </c>
      <c r="I6" s="7" t="s">
        <v>172</v>
      </c>
      <c r="J6" s="7" t="s">
        <v>173</v>
      </c>
      <c r="K6" s="7" t="s">
        <v>174</v>
      </c>
      <c r="L6" s="7" t="s">
        <v>175</v>
      </c>
    </row>
    <row r="7" spans="1:12" ht="57" customHeight="1" x14ac:dyDescent="0.2">
      <c r="A7" s="5" t="s">
        <v>176</v>
      </c>
      <c r="B7" s="5" t="s">
        <v>177</v>
      </c>
      <c r="C7" s="5" t="s">
        <v>178</v>
      </c>
      <c r="D7" s="5" t="s">
        <v>179</v>
      </c>
      <c r="E7" s="8">
        <v>1</v>
      </c>
      <c r="F7" s="5" t="s">
        <v>180</v>
      </c>
      <c r="G7" s="5" t="s">
        <v>177</v>
      </c>
      <c r="H7" s="5" t="s">
        <v>177</v>
      </c>
      <c r="I7" s="5" t="s">
        <v>181</v>
      </c>
      <c r="J7" s="5" t="s">
        <v>182</v>
      </c>
      <c r="K7" s="5" t="s">
        <v>183</v>
      </c>
      <c r="L7" s="5" t="s">
        <v>184</v>
      </c>
    </row>
    <row r="8" spans="1:12" ht="57" customHeight="1" x14ac:dyDescent="0.2">
      <c r="A8" s="5" t="s">
        <v>185</v>
      </c>
      <c r="B8" s="5" t="s">
        <v>186</v>
      </c>
      <c r="C8" s="5" t="s">
        <v>187</v>
      </c>
      <c r="D8" s="5" t="s">
        <v>188</v>
      </c>
      <c r="E8" s="8">
        <v>2</v>
      </c>
      <c r="F8" s="5" t="s">
        <v>189</v>
      </c>
      <c r="G8" s="5" t="s">
        <v>186</v>
      </c>
      <c r="H8" s="5" t="s">
        <v>186</v>
      </c>
      <c r="I8" s="5" t="s">
        <v>190</v>
      </c>
      <c r="J8" s="5" t="s">
        <v>182</v>
      </c>
      <c r="K8" s="5" t="s">
        <v>183</v>
      </c>
      <c r="L8" s="5" t="s">
        <v>184</v>
      </c>
    </row>
    <row r="9" spans="1:12" ht="57" customHeight="1" x14ac:dyDescent="0.2">
      <c r="A9" s="5" t="s">
        <v>191</v>
      </c>
      <c r="B9" s="5" t="s">
        <v>192</v>
      </c>
      <c r="C9" s="5" t="s">
        <v>193</v>
      </c>
      <c r="D9" s="5" t="s">
        <v>194</v>
      </c>
      <c r="E9" s="8">
        <v>3</v>
      </c>
      <c r="F9" s="5" t="s">
        <v>195</v>
      </c>
      <c r="G9" s="5" t="s">
        <v>192</v>
      </c>
      <c r="H9" s="5" t="s">
        <v>192</v>
      </c>
      <c r="I9" s="5" t="s">
        <v>196</v>
      </c>
      <c r="J9" s="5" t="s">
        <v>182</v>
      </c>
      <c r="K9" s="5" t="s">
        <v>183</v>
      </c>
      <c r="L9" s="5" t="s">
        <v>184</v>
      </c>
    </row>
    <row r="10" spans="1:12" ht="57" customHeight="1" x14ac:dyDescent="0.2">
      <c r="A10" s="5" t="s">
        <v>197</v>
      </c>
      <c r="B10" s="5" t="s">
        <v>198</v>
      </c>
      <c r="C10" s="5" t="s">
        <v>199</v>
      </c>
      <c r="D10" s="5" t="s">
        <v>200</v>
      </c>
      <c r="E10" s="8">
        <v>4</v>
      </c>
      <c r="F10" s="5" t="s">
        <v>196</v>
      </c>
      <c r="G10" s="5" t="s">
        <v>198</v>
      </c>
      <c r="H10" s="5" t="s">
        <v>198</v>
      </c>
      <c r="I10" s="5" t="s">
        <v>201</v>
      </c>
      <c r="J10" s="5" t="s">
        <v>182</v>
      </c>
      <c r="K10" s="5" t="s">
        <v>183</v>
      </c>
      <c r="L10" s="5" t="s">
        <v>184</v>
      </c>
    </row>
    <row r="11" spans="1:12" ht="57" customHeight="1" x14ac:dyDescent="0.2">
      <c r="A11" s="5" t="s">
        <v>202</v>
      </c>
      <c r="B11" s="5" t="s">
        <v>203</v>
      </c>
      <c r="C11" s="5" t="s">
        <v>204</v>
      </c>
      <c r="D11" s="5" t="s">
        <v>205</v>
      </c>
      <c r="E11" s="8">
        <v>5</v>
      </c>
      <c r="F11" s="5" t="s">
        <v>201</v>
      </c>
      <c r="G11" s="5" t="s">
        <v>203</v>
      </c>
      <c r="H11" s="5" t="s">
        <v>203</v>
      </c>
      <c r="I11" s="5" t="s">
        <v>206</v>
      </c>
      <c r="J11" s="5" t="s">
        <v>182</v>
      </c>
      <c r="K11" s="5" t="s">
        <v>183</v>
      </c>
      <c r="L11" s="5" t="s">
        <v>184</v>
      </c>
    </row>
    <row r="12" spans="1:12" ht="57" customHeight="1" x14ac:dyDescent="0.2">
      <c r="A12" s="5" t="s">
        <v>207</v>
      </c>
      <c r="B12" s="5" t="s">
        <v>208</v>
      </c>
      <c r="C12" s="5" t="s">
        <v>209</v>
      </c>
      <c r="D12" s="5" t="s">
        <v>210</v>
      </c>
      <c r="E12" s="8">
        <v>6</v>
      </c>
      <c r="F12" s="5" t="s">
        <v>211</v>
      </c>
      <c r="G12" s="5" t="s">
        <v>208</v>
      </c>
      <c r="H12" s="5" t="s">
        <v>208</v>
      </c>
      <c r="I12" s="5" t="s">
        <v>212</v>
      </c>
      <c r="J12" s="5" t="s">
        <v>182</v>
      </c>
      <c r="K12" s="5" t="s">
        <v>183</v>
      </c>
      <c r="L12" s="5" t="s">
        <v>184</v>
      </c>
    </row>
    <row r="13" spans="1:12" ht="57" customHeight="1" x14ac:dyDescent="0.2">
      <c r="A13" s="5" t="s">
        <v>213</v>
      </c>
      <c r="B13" s="5" t="s">
        <v>214</v>
      </c>
      <c r="C13" s="5" t="s">
        <v>215</v>
      </c>
      <c r="D13" s="5" t="s">
        <v>216</v>
      </c>
      <c r="E13" s="8">
        <v>7</v>
      </c>
      <c r="F13" s="5" t="s">
        <v>217</v>
      </c>
      <c r="G13" s="5" t="s">
        <v>214</v>
      </c>
      <c r="H13" s="5" t="s">
        <v>214</v>
      </c>
      <c r="I13" s="5" t="s">
        <v>218</v>
      </c>
      <c r="J13" s="5" t="s">
        <v>182</v>
      </c>
      <c r="K13" s="5" t="s">
        <v>183</v>
      </c>
      <c r="L13" s="5" t="s">
        <v>184</v>
      </c>
    </row>
    <row r="14" spans="1:12" ht="57" customHeight="1" x14ac:dyDescent="0.2">
      <c r="A14" s="5" t="s">
        <v>219</v>
      </c>
      <c r="B14" s="5" t="s">
        <v>220</v>
      </c>
      <c r="C14" s="5" t="s">
        <v>221</v>
      </c>
      <c r="D14" s="5" t="s">
        <v>222</v>
      </c>
      <c r="E14" s="8">
        <v>8</v>
      </c>
      <c r="F14" s="5" t="s">
        <v>223</v>
      </c>
      <c r="G14" s="5" t="s">
        <v>220</v>
      </c>
      <c r="H14" s="5" t="s">
        <v>220</v>
      </c>
      <c r="I14" s="5" t="s">
        <v>224</v>
      </c>
      <c r="J14" s="5" t="s">
        <v>182</v>
      </c>
      <c r="K14" s="5" t="s">
        <v>183</v>
      </c>
      <c r="L14" s="5" t="s">
        <v>184</v>
      </c>
    </row>
  </sheetData>
  <dataValidations count="2">
    <dataValidation type="list" sqref="D7:D1200" xr:uid="{00000000-0002-0000-0400-000000000000}">
      <formula1>og_list_8</formula1>
    </dataValidation>
    <dataValidation type="whole" sqref="E7:E1200" xr:uid="{00000000-0002-0000-0400-000001000000}">
      <formula1>0</formula1>
      <formula2>1000000</formula2>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67E8F9"/>
  </sheetPr>
  <dimension ref="A1:M28"/>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7" width="29.0546875" customWidth="1"/>
    <col min="8" max="8" width="18.0234375" customWidth="1"/>
    <col min="9" max="10" width="29.0546875" customWidth="1"/>
    <col min="11" max="12" width="48.0234375" customWidth="1"/>
    <col min="13" max="13" width="29.0546875" customWidth="1"/>
  </cols>
  <sheetData>
    <row r="1" spans="1:13" ht="21.75" x14ac:dyDescent="0.25">
      <c r="A1" s="3" t="s">
        <v>225</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226</v>
      </c>
      <c r="B3" s="2"/>
      <c r="C3" s="2"/>
      <c r="D3" s="2"/>
      <c r="E3" s="2"/>
      <c r="F3" s="2"/>
      <c r="G3" s="2"/>
      <c r="H3" s="2"/>
      <c r="I3" s="2"/>
      <c r="J3" s="2"/>
      <c r="K3" s="2"/>
      <c r="L3" s="2"/>
      <c r="M3" s="2"/>
    </row>
    <row r="4" spans="1:13" ht="16.5" x14ac:dyDescent="0.2">
      <c r="A4" s="4" t="str">
        <f>HYPERLINK("#'Field Dictionary'!A34","🐙▶️ - 1 - SHORT TEXT")</f>
        <v>🐙▶️ - 1 - SHORT TEXT</v>
      </c>
      <c r="B4" s="4" t="str">
        <f>HYPERLINK("#'Field Dictionary'!A35","🐙▶️ - 2 - LONG TEXT")</f>
        <v>🐙▶️ - 2 - LONG TEXT</v>
      </c>
      <c r="C4" s="4" t="str">
        <f>HYPERLINK("#'Field Dictionary'!A36","🐙▶️ - 3 - SHORT TEXT")</f>
        <v>🐙▶️ - 3 - SHORT TEXT</v>
      </c>
      <c r="D4" s="4" t="str">
        <f>HYPERLINK("#'Field Dictionary'!A37","🐙▶️ - 4 - LINKED RECORD")</f>
        <v>🐙▶️ - 4 - LINKED RECORD</v>
      </c>
      <c r="E4" s="4" t="str">
        <f>HYPERLINK("#'Field Dictionary'!A38","🐙▶️ - 5 - LINKED RECORD")</f>
        <v>🐙▶️ - 5 - LINKED RECORD</v>
      </c>
      <c r="F4" s="4" t="str">
        <f>HYPERLINK("#'Field Dictionary'!A39","🐙▶️ - 6 - LINKED RECORD")</f>
        <v>🐙▶️ - 6 - LINKED RECORD</v>
      </c>
      <c r="G4" s="4" t="str">
        <f>HYPERLINK("#'Field Dictionary'!A40","🐙▶️ - 7 - SHORT TEXT")</f>
        <v>🐙▶️ - 7 - SHORT TEXT</v>
      </c>
      <c r="H4" s="4" t="str">
        <f>HYPERLINK("#'Field Dictionary'!A41","🐙▶️ - 8 - INTEGER")</f>
        <v>🐙▶️ - 8 - INTEGER</v>
      </c>
      <c r="I4" s="4" t="str">
        <f>HYPERLINK("#'Field Dictionary'!A42","🐙▶️ - 9 - LINKED RECORD")</f>
        <v>🐙▶️ - 9 - LINKED RECORD</v>
      </c>
      <c r="J4" s="4" t="str">
        <f>HYPERLINK("#'Field Dictionary'!A43","🐙▶️ - 10 - SINGLE SELECT")</f>
        <v>🐙▶️ - 10 - SINGLE SELECT</v>
      </c>
      <c r="K4" s="4" t="str">
        <f>HYPERLINK("#'Field Dictionary'!A44","🐙▶️ - 11 - LONG TEXT")</f>
        <v>🐙▶️ - 11 - LONG TEXT</v>
      </c>
      <c r="L4" s="4" t="str">
        <f>HYPERLINK("#'Field Dictionary'!A45","🐙▶️ - 12 - LONG TEXT")</f>
        <v>🐙▶️ - 12 - LONG TEXT</v>
      </c>
      <c r="M4" s="4" t="str">
        <f>HYPERLINK("#'Field Dictionary'!A46","🐙▶️ - 13 - SINGLE SELECT")</f>
        <v>🐙▶️ - 13 - SINGLE SELECT</v>
      </c>
    </row>
    <row r="5" spans="1:13" ht="38.1" customHeight="1" x14ac:dyDescent="0.2">
      <c r="A5" s="7" t="s">
        <v>100</v>
      </c>
      <c r="B5" s="7" t="s">
        <v>101</v>
      </c>
      <c r="C5" s="7" t="s">
        <v>102</v>
      </c>
      <c r="D5" s="7" t="s">
        <v>227</v>
      </c>
      <c r="E5" s="7" t="s">
        <v>228</v>
      </c>
      <c r="F5" s="7" t="s">
        <v>229</v>
      </c>
      <c r="G5" s="7" t="s">
        <v>230</v>
      </c>
      <c r="H5" s="7" t="s">
        <v>231</v>
      </c>
      <c r="I5" s="7" t="s">
        <v>232</v>
      </c>
      <c r="J5" s="7" t="s">
        <v>109</v>
      </c>
      <c r="K5" s="7" t="s">
        <v>233</v>
      </c>
      <c r="L5" s="7" t="s">
        <v>234</v>
      </c>
      <c r="M5" s="7" t="s">
        <v>235</v>
      </c>
    </row>
    <row r="6" spans="1:13" ht="38.1" customHeight="1" x14ac:dyDescent="0.2">
      <c r="A6" s="7" t="s">
        <v>115</v>
      </c>
      <c r="B6" s="7" t="s">
        <v>116</v>
      </c>
      <c r="C6" s="7" t="s">
        <v>117</v>
      </c>
      <c r="D6" s="7" t="s">
        <v>236</v>
      </c>
      <c r="E6" s="7" t="s">
        <v>237</v>
      </c>
      <c r="F6" s="7" t="s">
        <v>238</v>
      </c>
      <c r="G6" s="7" t="s">
        <v>239</v>
      </c>
      <c r="H6" s="7" t="s">
        <v>240</v>
      </c>
      <c r="I6" s="7" t="s">
        <v>241</v>
      </c>
      <c r="J6" s="7" t="s">
        <v>124</v>
      </c>
      <c r="K6" s="7" t="s">
        <v>242</v>
      </c>
      <c r="L6" s="7" t="s">
        <v>243</v>
      </c>
      <c r="M6" s="7" t="s">
        <v>244</v>
      </c>
    </row>
    <row r="7" spans="1:13" ht="50.1" customHeight="1" x14ac:dyDescent="0.2">
      <c r="A7" s="5" t="s">
        <v>245</v>
      </c>
      <c r="B7" s="5" t="s">
        <v>177</v>
      </c>
      <c r="C7" s="5" t="s">
        <v>246</v>
      </c>
      <c r="D7" s="5" t="s">
        <v>142</v>
      </c>
      <c r="E7" s="5" t="s">
        <v>178</v>
      </c>
      <c r="F7" s="5"/>
      <c r="G7" s="5"/>
      <c r="H7" s="8">
        <v>1</v>
      </c>
      <c r="I7" s="5"/>
      <c r="J7" s="5" t="s">
        <v>135</v>
      </c>
      <c r="K7" s="5" t="s">
        <v>247</v>
      </c>
      <c r="L7" s="5" t="s">
        <v>181</v>
      </c>
      <c r="M7" s="5" t="s">
        <v>248</v>
      </c>
    </row>
    <row r="8" spans="1:13" ht="50.1" customHeight="1" x14ac:dyDescent="0.2">
      <c r="A8" s="5" t="s">
        <v>249</v>
      </c>
      <c r="B8" s="5" t="s">
        <v>186</v>
      </c>
      <c r="C8" s="5" t="s">
        <v>250</v>
      </c>
      <c r="D8" s="5" t="s">
        <v>142</v>
      </c>
      <c r="E8" s="5" t="s">
        <v>187</v>
      </c>
      <c r="F8" s="5"/>
      <c r="G8" s="5"/>
      <c r="H8" s="8">
        <v>2</v>
      </c>
      <c r="I8" s="5"/>
      <c r="J8" s="5" t="s">
        <v>135</v>
      </c>
      <c r="K8" s="5" t="s">
        <v>247</v>
      </c>
      <c r="L8" s="5" t="s">
        <v>190</v>
      </c>
      <c r="M8" s="5" t="s">
        <v>248</v>
      </c>
    </row>
    <row r="9" spans="1:13" ht="57" customHeight="1" x14ac:dyDescent="0.2">
      <c r="A9" s="5" t="s">
        <v>251</v>
      </c>
      <c r="B9" s="5" t="s">
        <v>192</v>
      </c>
      <c r="C9" s="5" t="s">
        <v>252</v>
      </c>
      <c r="D9" s="5" t="s">
        <v>142</v>
      </c>
      <c r="E9" s="5" t="s">
        <v>193</v>
      </c>
      <c r="F9" s="5"/>
      <c r="G9" s="5"/>
      <c r="H9" s="8">
        <v>3</v>
      </c>
      <c r="I9" s="5"/>
      <c r="J9" s="5" t="s">
        <v>135</v>
      </c>
      <c r="K9" s="5" t="s">
        <v>247</v>
      </c>
      <c r="L9" s="5" t="s">
        <v>196</v>
      </c>
      <c r="M9" s="5" t="s">
        <v>248</v>
      </c>
    </row>
    <row r="10" spans="1:13" ht="50.1" customHeight="1" x14ac:dyDescent="0.2">
      <c r="A10" s="5" t="s">
        <v>253</v>
      </c>
      <c r="B10" s="5" t="s">
        <v>198</v>
      </c>
      <c r="C10" s="5" t="s">
        <v>254</v>
      </c>
      <c r="D10" s="5" t="s">
        <v>142</v>
      </c>
      <c r="E10" s="5" t="s">
        <v>199</v>
      </c>
      <c r="F10" s="5"/>
      <c r="G10" s="5"/>
      <c r="H10" s="8">
        <v>4</v>
      </c>
      <c r="I10" s="5"/>
      <c r="J10" s="5" t="s">
        <v>135</v>
      </c>
      <c r="K10" s="5" t="s">
        <v>247</v>
      </c>
      <c r="L10" s="5" t="s">
        <v>201</v>
      </c>
      <c r="M10" s="5" t="s">
        <v>248</v>
      </c>
    </row>
    <row r="11" spans="1:13" ht="50.1" customHeight="1" x14ac:dyDescent="0.2">
      <c r="A11" s="5" t="s">
        <v>255</v>
      </c>
      <c r="B11" s="5" t="s">
        <v>203</v>
      </c>
      <c r="C11" s="5" t="s">
        <v>256</v>
      </c>
      <c r="D11" s="5" t="s">
        <v>142</v>
      </c>
      <c r="E11" s="5" t="s">
        <v>204</v>
      </c>
      <c r="F11" s="5"/>
      <c r="G11" s="5"/>
      <c r="H11" s="8">
        <v>5</v>
      </c>
      <c r="I11" s="5"/>
      <c r="J11" s="5" t="s">
        <v>135</v>
      </c>
      <c r="K11" s="5" t="s">
        <v>247</v>
      </c>
      <c r="L11" s="5" t="s">
        <v>206</v>
      </c>
      <c r="M11" s="5" t="s">
        <v>248</v>
      </c>
    </row>
    <row r="12" spans="1:13" ht="50.1" customHeight="1" x14ac:dyDescent="0.2">
      <c r="A12" s="5" t="s">
        <v>257</v>
      </c>
      <c r="B12" s="5" t="s">
        <v>208</v>
      </c>
      <c r="C12" s="5" t="s">
        <v>258</v>
      </c>
      <c r="D12" s="5" t="s">
        <v>142</v>
      </c>
      <c r="E12" s="5" t="s">
        <v>209</v>
      </c>
      <c r="F12" s="5"/>
      <c r="G12" s="5"/>
      <c r="H12" s="8">
        <v>6</v>
      </c>
      <c r="I12" s="5"/>
      <c r="J12" s="5" t="s">
        <v>135</v>
      </c>
      <c r="K12" s="5" t="s">
        <v>247</v>
      </c>
      <c r="L12" s="5" t="s">
        <v>212</v>
      </c>
      <c r="M12" s="5" t="s">
        <v>248</v>
      </c>
    </row>
    <row r="13" spans="1:13" ht="50.1" customHeight="1" x14ac:dyDescent="0.2">
      <c r="A13" s="5" t="s">
        <v>259</v>
      </c>
      <c r="B13" s="5" t="s">
        <v>214</v>
      </c>
      <c r="C13" s="5" t="s">
        <v>260</v>
      </c>
      <c r="D13" s="5" t="s">
        <v>142</v>
      </c>
      <c r="E13" s="5" t="s">
        <v>215</v>
      </c>
      <c r="F13" s="5"/>
      <c r="G13" s="5"/>
      <c r="H13" s="8">
        <v>7</v>
      </c>
      <c r="I13" s="5"/>
      <c r="J13" s="5" t="s">
        <v>135</v>
      </c>
      <c r="K13" s="5" t="s">
        <v>247</v>
      </c>
      <c r="L13" s="5" t="s">
        <v>218</v>
      </c>
      <c r="M13" s="5" t="s">
        <v>248</v>
      </c>
    </row>
    <row r="14" spans="1:13" ht="57" customHeight="1" x14ac:dyDescent="0.2">
      <c r="A14" s="5" t="s">
        <v>261</v>
      </c>
      <c r="B14" s="5" t="s">
        <v>220</v>
      </c>
      <c r="C14" s="5" t="s">
        <v>262</v>
      </c>
      <c r="D14" s="5" t="s">
        <v>142</v>
      </c>
      <c r="E14" s="5" t="s">
        <v>221</v>
      </c>
      <c r="F14" s="5"/>
      <c r="G14" s="5"/>
      <c r="H14" s="8">
        <v>8</v>
      </c>
      <c r="I14" s="5"/>
      <c r="J14" s="5" t="s">
        <v>135</v>
      </c>
      <c r="K14" s="5" t="s">
        <v>247</v>
      </c>
      <c r="L14" s="5" t="s">
        <v>224</v>
      </c>
      <c r="M14" s="5" t="s">
        <v>248</v>
      </c>
    </row>
    <row r="15" spans="1:13" ht="50.1" customHeight="1" x14ac:dyDescent="0.2">
      <c r="A15" s="5" t="s">
        <v>263</v>
      </c>
      <c r="B15" s="5" t="s">
        <v>264</v>
      </c>
      <c r="C15" s="5" t="s">
        <v>265</v>
      </c>
      <c r="D15" s="5" t="s">
        <v>150</v>
      </c>
      <c r="E15" s="5" t="s">
        <v>193</v>
      </c>
      <c r="F15" s="5"/>
      <c r="G15" s="5"/>
      <c r="H15" s="8">
        <v>3</v>
      </c>
      <c r="I15" s="5"/>
      <c r="J15" s="5" t="s">
        <v>135</v>
      </c>
      <c r="K15" s="5" t="s">
        <v>266</v>
      </c>
      <c r="L15" s="5" t="s">
        <v>267</v>
      </c>
      <c r="M15" s="5" t="s">
        <v>248</v>
      </c>
    </row>
    <row r="16" spans="1:13" ht="50.1" customHeight="1" x14ac:dyDescent="0.2">
      <c r="A16" s="5" t="s">
        <v>268</v>
      </c>
      <c r="B16" s="5" t="s">
        <v>264</v>
      </c>
      <c r="C16" s="5" t="s">
        <v>269</v>
      </c>
      <c r="D16" s="5" t="s">
        <v>150</v>
      </c>
      <c r="E16" s="5" t="s">
        <v>199</v>
      </c>
      <c r="F16" s="5"/>
      <c r="G16" s="5"/>
      <c r="H16" s="8">
        <v>4</v>
      </c>
      <c r="I16" s="5"/>
      <c r="J16" s="5" t="s">
        <v>135</v>
      </c>
      <c r="K16" s="5" t="s">
        <v>266</v>
      </c>
      <c r="L16" s="5" t="s">
        <v>267</v>
      </c>
      <c r="M16" s="5" t="s">
        <v>248</v>
      </c>
    </row>
    <row r="17" spans="1:13" ht="50.1" customHeight="1" x14ac:dyDescent="0.2">
      <c r="A17" s="5" t="s">
        <v>270</v>
      </c>
      <c r="B17" s="5" t="s">
        <v>264</v>
      </c>
      <c r="C17" s="5" t="s">
        <v>271</v>
      </c>
      <c r="D17" s="5" t="s">
        <v>150</v>
      </c>
      <c r="E17" s="5" t="s">
        <v>204</v>
      </c>
      <c r="F17" s="5"/>
      <c r="G17" s="5"/>
      <c r="H17" s="8">
        <v>5</v>
      </c>
      <c r="I17" s="5"/>
      <c r="J17" s="5" t="s">
        <v>135</v>
      </c>
      <c r="K17" s="5" t="s">
        <v>266</v>
      </c>
      <c r="L17" s="5" t="s">
        <v>267</v>
      </c>
      <c r="M17" s="5" t="s">
        <v>248</v>
      </c>
    </row>
    <row r="18" spans="1:13" ht="72" customHeight="1" x14ac:dyDescent="0.2">
      <c r="A18" s="5" t="s">
        <v>272</v>
      </c>
      <c r="B18" s="5" t="s">
        <v>264</v>
      </c>
      <c r="C18" s="5" t="s">
        <v>273</v>
      </c>
      <c r="D18" s="5" t="s">
        <v>150</v>
      </c>
      <c r="E18" s="5" t="s">
        <v>209</v>
      </c>
      <c r="F18" s="5"/>
      <c r="G18" s="5"/>
      <c r="H18" s="8">
        <v>6</v>
      </c>
      <c r="I18" s="5"/>
      <c r="J18" s="5" t="s">
        <v>135</v>
      </c>
      <c r="K18" s="5" t="s">
        <v>274</v>
      </c>
      <c r="L18" s="5" t="s">
        <v>275</v>
      </c>
      <c r="M18" s="5" t="s">
        <v>276</v>
      </c>
    </row>
    <row r="19" spans="1:13" ht="50.1" customHeight="1" x14ac:dyDescent="0.2">
      <c r="A19" s="5" t="s">
        <v>277</v>
      </c>
      <c r="B19" s="5" t="s">
        <v>264</v>
      </c>
      <c r="C19" s="5" t="s">
        <v>278</v>
      </c>
      <c r="D19" s="5" t="s">
        <v>150</v>
      </c>
      <c r="E19" s="5" t="s">
        <v>209</v>
      </c>
      <c r="F19" s="5" t="s">
        <v>273</v>
      </c>
      <c r="G19" s="5" t="s">
        <v>279</v>
      </c>
      <c r="H19" s="8">
        <v>1</v>
      </c>
      <c r="I19" s="5"/>
      <c r="J19" s="5" t="s">
        <v>135</v>
      </c>
      <c r="K19" s="5" t="s">
        <v>280</v>
      </c>
      <c r="L19" s="5" t="s">
        <v>281</v>
      </c>
      <c r="M19" s="5" t="s">
        <v>276</v>
      </c>
    </row>
    <row r="20" spans="1:13" ht="57" customHeight="1" x14ac:dyDescent="0.2">
      <c r="A20" s="5" t="s">
        <v>282</v>
      </c>
      <c r="B20" s="5" t="s">
        <v>264</v>
      </c>
      <c r="C20" s="5" t="s">
        <v>283</v>
      </c>
      <c r="D20" s="5" t="s">
        <v>150</v>
      </c>
      <c r="E20" s="5" t="s">
        <v>209</v>
      </c>
      <c r="F20" s="5" t="s">
        <v>273</v>
      </c>
      <c r="G20" s="5" t="s">
        <v>284</v>
      </c>
      <c r="H20" s="8">
        <v>2</v>
      </c>
      <c r="I20" s="5"/>
      <c r="J20" s="5" t="s">
        <v>135</v>
      </c>
      <c r="K20" s="5" t="s">
        <v>285</v>
      </c>
      <c r="L20" s="5" t="s">
        <v>286</v>
      </c>
      <c r="M20" s="5" t="s">
        <v>276</v>
      </c>
    </row>
    <row r="21" spans="1:13" ht="57" customHeight="1" x14ac:dyDescent="0.2">
      <c r="A21" s="5" t="s">
        <v>287</v>
      </c>
      <c r="B21" s="5" t="s">
        <v>264</v>
      </c>
      <c r="C21" s="5" t="s">
        <v>288</v>
      </c>
      <c r="D21" s="5" t="s">
        <v>150</v>
      </c>
      <c r="E21" s="5" t="s">
        <v>209</v>
      </c>
      <c r="F21" s="5" t="s">
        <v>273</v>
      </c>
      <c r="G21" s="5" t="s">
        <v>289</v>
      </c>
      <c r="H21" s="8">
        <v>3</v>
      </c>
      <c r="I21" s="5"/>
      <c r="J21" s="5" t="s">
        <v>135</v>
      </c>
      <c r="K21" s="5" t="s">
        <v>290</v>
      </c>
      <c r="L21" s="5" t="s">
        <v>291</v>
      </c>
      <c r="M21" s="5" t="s">
        <v>276</v>
      </c>
    </row>
    <row r="22" spans="1:13" ht="57" customHeight="1" x14ac:dyDescent="0.2">
      <c r="A22" s="5" t="s">
        <v>292</v>
      </c>
      <c r="B22" s="5" t="s">
        <v>264</v>
      </c>
      <c r="C22" s="5" t="s">
        <v>293</v>
      </c>
      <c r="D22" s="5" t="s">
        <v>150</v>
      </c>
      <c r="E22" s="5" t="s">
        <v>209</v>
      </c>
      <c r="F22" s="5" t="s">
        <v>273</v>
      </c>
      <c r="G22" s="5" t="s">
        <v>294</v>
      </c>
      <c r="H22" s="8">
        <v>4</v>
      </c>
      <c r="I22" s="5"/>
      <c r="J22" s="5" t="s">
        <v>135</v>
      </c>
      <c r="K22" s="5" t="s">
        <v>295</v>
      </c>
      <c r="L22" s="5" t="s">
        <v>296</v>
      </c>
      <c r="M22" s="5" t="s">
        <v>276</v>
      </c>
    </row>
    <row r="23" spans="1:13" ht="57" customHeight="1" x14ac:dyDescent="0.2">
      <c r="A23" s="5" t="s">
        <v>297</v>
      </c>
      <c r="B23" s="5" t="s">
        <v>264</v>
      </c>
      <c r="C23" s="5" t="s">
        <v>298</v>
      </c>
      <c r="D23" s="5" t="s">
        <v>150</v>
      </c>
      <c r="E23" s="5" t="s">
        <v>209</v>
      </c>
      <c r="F23" s="5" t="s">
        <v>273</v>
      </c>
      <c r="G23" s="5" t="s">
        <v>299</v>
      </c>
      <c r="H23" s="8">
        <v>5</v>
      </c>
      <c r="I23" s="5"/>
      <c r="J23" s="5" t="s">
        <v>135</v>
      </c>
      <c r="K23" s="5" t="s">
        <v>300</v>
      </c>
      <c r="L23" s="5" t="s">
        <v>301</v>
      </c>
      <c r="M23" s="5" t="s">
        <v>276</v>
      </c>
    </row>
    <row r="24" spans="1:13" ht="57" customHeight="1" x14ac:dyDescent="0.2">
      <c r="A24" s="5" t="s">
        <v>302</v>
      </c>
      <c r="B24" s="5" t="s">
        <v>264</v>
      </c>
      <c r="C24" s="5" t="s">
        <v>303</v>
      </c>
      <c r="D24" s="5" t="s">
        <v>150</v>
      </c>
      <c r="E24" s="5" t="s">
        <v>209</v>
      </c>
      <c r="F24" s="5" t="s">
        <v>273</v>
      </c>
      <c r="G24" s="5" t="s">
        <v>304</v>
      </c>
      <c r="H24" s="8">
        <v>6</v>
      </c>
      <c r="I24" s="5"/>
      <c r="J24" s="5" t="s">
        <v>135</v>
      </c>
      <c r="K24" s="5" t="s">
        <v>305</v>
      </c>
      <c r="L24" s="5" t="s">
        <v>306</v>
      </c>
      <c r="M24" s="5" t="s">
        <v>276</v>
      </c>
    </row>
    <row r="25" spans="1:13" ht="57" customHeight="1" x14ac:dyDescent="0.2">
      <c r="A25" s="5" t="s">
        <v>307</v>
      </c>
      <c r="B25" s="5" t="s">
        <v>264</v>
      </c>
      <c r="C25" s="5" t="s">
        <v>308</v>
      </c>
      <c r="D25" s="5" t="s">
        <v>150</v>
      </c>
      <c r="E25" s="5" t="s">
        <v>209</v>
      </c>
      <c r="F25" s="5" t="s">
        <v>273</v>
      </c>
      <c r="G25" s="5" t="s">
        <v>309</v>
      </c>
      <c r="H25" s="8">
        <v>7</v>
      </c>
      <c r="I25" s="5"/>
      <c r="J25" s="5" t="s">
        <v>135</v>
      </c>
      <c r="K25" s="5" t="s">
        <v>310</v>
      </c>
      <c r="L25" s="5" t="s">
        <v>311</v>
      </c>
      <c r="M25" s="5" t="s">
        <v>276</v>
      </c>
    </row>
    <row r="26" spans="1:13" ht="72" customHeight="1" x14ac:dyDescent="0.2">
      <c r="A26" s="5" t="s">
        <v>312</v>
      </c>
      <c r="B26" s="5" t="s">
        <v>264</v>
      </c>
      <c r="C26" s="5" t="s">
        <v>313</v>
      </c>
      <c r="D26" s="5" t="s">
        <v>150</v>
      </c>
      <c r="E26" s="5" t="s">
        <v>209</v>
      </c>
      <c r="F26" s="5" t="s">
        <v>273</v>
      </c>
      <c r="G26" s="5" t="s">
        <v>314</v>
      </c>
      <c r="H26" s="8">
        <v>8</v>
      </c>
      <c r="I26" s="5"/>
      <c r="J26" s="5" t="s">
        <v>135</v>
      </c>
      <c r="K26" s="5" t="s">
        <v>274</v>
      </c>
      <c r="L26" s="5" t="s">
        <v>275</v>
      </c>
      <c r="M26" s="5" t="s">
        <v>276</v>
      </c>
    </row>
    <row r="27" spans="1:13" ht="72" customHeight="1" x14ac:dyDescent="0.2">
      <c r="A27" s="5" t="s">
        <v>315</v>
      </c>
      <c r="B27" s="5" t="s">
        <v>316</v>
      </c>
      <c r="C27" s="5" t="s">
        <v>317</v>
      </c>
      <c r="D27" s="5" t="s">
        <v>150</v>
      </c>
      <c r="E27" s="5" t="s">
        <v>215</v>
      </c>
      <c r="F27" s="5"/>
      <c r="G27" s="5"/>
      <c r="H27" s="8">
        <v>7</v>
      </c>
      <c r="I27" s="5"/>
      <c r="J27" s="5" t="s">
        <v>135</v>
      </c>
      <c r="K27" s="5" t="s">
        <v>318</v>
      </c>
      <c r="L27" s="5" t="s">
        <v>319</v>
      </c>
      <c r="M27" s="5" t="s">
        <v>276</v>
      </c>
    </row>
    <row r="28" spans="1:13" ht="57" customHeight="1" x14ac:dyDescent="0.2">
      <c r="A28" s="5" t="s">
        <v>320</v>
      </c>
      <c r="B28" s="5" t="s">
        <v>321</v>
      </c>
      <c r="C28" s="5" t="s">
        <v>153</v>
      </c>
      <c r="D28" s="5" t="s">
        <v>150</v>
      </c>
      <c r="E28" s="5" t="s">
        <v>221</v>
      </c>
      <c r="F28" s="5"/>
      <c r="G28" s="5"/>
      <c r="H28" s="8">
        <v>8</v>
      </c>
      <c r="I28" s="5"/>
      <c r="J28" s="5" t="s">
        <v>135</v>
      </c>
      <c r="K28" s="5" t="s">
        <v>322</v>
      </c>
      <c r="L28" s="5" t="s">
        <v>323</v>
      </c>
      <c r="M28" s="5" t="s">
        <v>276</v>
      </c>
    </row>
  </sheetData>
  <conditionalFormatting sqref="J7:J1200">
    <cfRule type="containsText" dxfId="10" priority="1" operator="containsText" text="BLOCK"/>
  </conditionalFormatting>
  <dataValidations count="6">
    <dataValidation type="list" sqref="D7:D1200" xr:uid="{00000000-0002-0000-0500-000000000000}">
      <formula1>og_list_9</formula1>
    </dataValidation>
    <dataValidation type="list" sqref="E7:E1200" xr:uid="{00000000-0002-0000-0500-000001000000}">
      <formula1>og_list_10</formula1>
    </dataValidation>
    <dataValidation type="list" sqref="F7:F1200 I7:I1200" xr:uid="{00000000-0002-0000-0500-000002000000}">
      <formula1>og_list_3</formula1>
    </dataValidation>
    <dataValidation type="whole" sqref="H7:H1200" xr:uid="{00000000-0002-0000-0500-000003000000}">
      <formula1>0</formula1>
      <formula2>1000000</formula2>
    </dataValidation>
    <dataValidation type="list" sqref="J7:J1200" xr:uid="{00000000-0002-0000-0500-000005000000}">
      <formula1>"NOT STARTED,ACTIVE,READY FOR REVIEW,BLOCKED,COMPLETE"</formula1>
    </dataValidation>
    <dataValidation type="list" sqref="M7:M1200" xr:uid="{00000000-0002-0000-0500-000006000000}">
      <formula1>"CONTEMPORANEOUS,RECONSTRUCTED"</formula1>
    </dataValidation>
  </dataValidation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67E8F9"/>
  </sheetPr>
  <dimension ref="A1:M426"/>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7" width="29.0546875" customWidth="1"/>
    <col min="8" max="13" width="48.0234375" customWidth="1"/>
  </cols>
  <sheetData>
    <row r="1" spans="1:13" ht="21.75" x14ac:dyDescent="0.25">
      <c r="A1" s="3" t="s">
        <v>324</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325</v>
      </c>
      <c r="B3" s="2"/>
      <c r="C3" s="2"/>
      <c r="D3" s="2"/>
      <c r="E3" s="2"/>
      <c r="F3" s="2"/>
      <c r="G3" s="2"/>
      <c r="H3" s="2"/>
      <c r="I3" s="2"/>
      <c r="J3" s="2"/>
      <c r="K3" s="2"/>
      <c r="L3" s="2"/>
      <c r="M3" s="2"/>
    </row>
    <row r="4" spans="1:13" ht="16.5" x14ac:dyDescent="0.2">
      <c r="A4" s="4" t="str">
        <f>HYPERLINK("#'Field Dictionary'!A47","📖🧭 - 1 - SHORT TEXT")</f>
        <v>📖🧭 - 1 - SHORT TEXT</v>
      </c>
      <c r="B4" s="4" t="str">
        <f>HYPERLINK("#'Field Dictionary'!A48","📖🧭 - 2 - LONG TEXT")</f>
        <v>📖🧭 - 2 - LONG TEXT</v>
      </c>
      <c r="C4" s="4" t="str">
        <f>HYPERLINK("#'Field Dictionary'!A49","📖🧭 - 3 - SHORT TEXT")</f>
        <v>📖🧭 - 3 - SHORT TEXT</v>
      </c>
      <c r="D4" s="4" t="str">
        <f>HYPERLINK("#'Field Dictionary'!A50","📖🧭 - 4 - LINKED RECORD")</f>
        <v>📖🧭 - 4 - LINKED RECORD</v>
      </c>
      <c r="E4" s="4" t="str">
        <f>HYPERLINK("#'Field Dictionary'!A51","📖🧭 - 5 - SINGLE SELECT")</f>
        <v>📖🧭 - 5 - SINGLE SELECT</v>
      </c>
      <c r="F4" s="4" t="str">
        <f>HYPERLINK("#'Field Dictionary'!A52","📖🧭 - 6 - LINKED RECORD")</f>
        <v>📖🧭 - 6 - LINKED RECORD</v>
      </c>
      <c r="G4" s="4" t="str">
        <f>HYPERLINK("#'Field Dictionary'!A53","📖🧭 - 7 - LINKED RECORD")</f>
        <v>📖🧭 - 7 - LINKED RECORD</v>
      </c>
      <c r="H4" s="4" t="str">
        <f>HYPERLINK("#'Field Dictionary'!A54","📖🧭 - 8 - LONG TEXT")</f>
        <v>📖🧭 - 8 - LONG TEXT</v>
      </c>
      <c r="I4" s="4" t="str">
        <f>HYPERLINK("#'Field Dictionary'!A55","📖🧭 - 9 - LONG TEXT")</f>
        <v>📖🧭 - 9 - LONG TEXT</v>
      </c>
      <c r="J4" s="4" t="str">
        <f>HYPERLINK("#'Field Dictionary'!A56","📖🧭 - 10 - LONG TEXT")</f>
        <v>📖🧭 - 10 - LONG TEXT</v>
      </c>
      <c r="K4" s="4" t="str">
        <f>HYPERLINK("#'Field Dictionary'!A57","📖🧭 - 11 - LONG TEXT")</f>
        <v>📖🧭 - 11 - LONG TEXT</v>
      </c>
      <c r="L4" s="4" t="str">
        <f>HYPERLINK("#'Field Dictionary'!A58","📖🧭 - 12 - LONG TEXT")</f>
        <v>📖🧭 - 12 - LONG TEXT</v>
      </c>
      <c r="M4" s="4" t="str">
        <f>HYPERLINK("#'Field Dictionary'!A59","📖🧭 - 13 - LONG TEXT")</f>
        <v>📖🧭 - 13 - LONG TEXT</v>
      </c>
    </row>
    <row r="5" spans="1:13" ht="38.1" customHeight="1" x14ac:dyDescent="0.2">
      <c r="A5" s="7" t="s">
        <v>100</v>
      </c>
      <c r="B5" s="7" t="s">
        <v>101</v>
      </c>
      <c r="C5" s="7" t="s">
        <v>102</v>
      </c>
      <c r="D5" s="7" t="s">
        <v>158</v>
      </c>
      <c r="E5" s="7" t="s">
        <v>326</v>
      </c>
      <c r="F5" s="7" t="s">
        <v>327</v>
      </c>
      <c r="G5" s="7" t="s">
        <v>328</v>
      </c>
      <c r="H5" s="7" t="s">
        <v>329</v>
      </c>
      <c r="I5" s="7" t="s">
        <v>330</v>
      </c>
      <c r="J5" s="7" t="s">
        <v>331</v>
      </c>
      <c r="K5" s="7" t="s">
        <v>332</v>
      </c>
      <c r="L5" s="7" t="s">
        <v>333</v>
      </c>
      <c r="M5" s="7" t="s">
        <v>334</v>
      </c>
    </row>
    <row r="6" spans="1:13" ht="38.1" customHeight="1" x14ac:dyDescent="0.2">
      <c r="A6" s="7" t="s">
        <v>115</v>
      </c>
      <c r="B6" s="7" t="s">
        <v>116</v>
      </c>
      <c r="C6" s="7" t="s">
        <v>117</v>
      </c>
      <c r="D6" s="7" t="s">
        <v>167</v>
      </c>
      <c r="E6" s="7" t="s">
        <v>335</v>
      </c>
      <c r="F6" s="7" t="s">
        <v>336</v>
      </c>
      <c r="G6" s="7" t="s">
        <v>337</v>
      </c>
      <c r="H6" s="7" t="s">
        <v>338</v>
      </c>
      <c r="I6" s="7" t="s">
        <v>339</v>
      </c>
      <c r="J6" s="7" t="s">
        <v>340</v>
      </c>
      <c r="K6" s="7" t="s">
        <v>341</v>
      </c>
      <c r="L6" s="7" t="s">
        <v>342</v>
      </c>
      <c r="M6" s="7" t="s">
        <v>343</v>
      </c>
    </row>
    <row r="7" spans="1:13" ht="87" customHeight="1" x14ac:dyDescent="0.2">
      <c r="A7" s="5" t="s">
        <v>344</v>
      </c>
      <c r="B7" s="5" t="s">
        <v>99</v>
      </c>
      <c r="C7" s="5" t="s">
        <v>345</v>
      </c>
      <c r="D7" s="5" t="s">
        <v>346</v>
      </c>
      <c r="E7" s="5" t="s">
        <v>347</v>
      </c>
      <c r="F7" s="5" t="s">
        <v>348</v>
      </c>
      <c r="G7" s="5"/>
      <c r="H7" s="5" t="s">
        <v>349</v>
      </c>
      <c r="I7" s="5" t="s">
        <v>350</v>
      </c>
      <c r="J7" s="5" t="s">
        <v>351</v>
      </c>
      <c r="K7" s="5" t="s">
        <v>352</v>
      </c>
      <c r="L7" s="5" t="s">
        <v>353</v>
      </c>
      <c r="M7" s="5" t="s">
        <v>354</v>
      </c>
    </row>
    <row r="8" spans="1:13" ht="57" customHeight="1" x14ac:dyDescent="0.2">
      <c r="A8" s="5" t="s">
        <v>355</v>
      </c>
      <c r="B8" s="5" t="s">
        <v>356</v>
      </c>
      <c r="C8" s="5" t="s">
        <v>357</v>
      </c>
      <c r="D8" s="5" t="s">
        <v>358</v>
      </c>
      <c r="E8" s="5" t="s">
        <v>359</v>
      </c>
      <c r="F8" s="5" t="s">
        <v>348</v>
      </c>
      <c r="G8" s="5" t="s">
        <v>360</v>
      </c>
      <c r="H8" s="5" t="s">
        <v>361</v>
      </c>
      <c r="I8" s="5" t="s">
        <v>362</v>
      </c>
      <c r="J8" s="5" t="s">
        <v>363</v>
      </c>
      <c r="K8" s="5" t="s">
        <v>364</v>
      </c>
      <c r="L8" s="5" t="s">
        <v>365</v>
      </c>
      <c r="M8" s="5" t="s">
        <v>366</v>
      </c>
    </row>
    <row r="9" spans="1:13" ht="57" customHeight="1" x14ac:dyDescent="0.2">
      <c r="A9" s="5" t="s">
        <v>367</v>
      </c>
      <c r="B9" s="5" t="s">
        <v>368</v>
      </c>
      <c r="C9" s="5" t="s">
        <v>369</v>
      </c>
      <c r="D9" s="5" t="s">
        <v>370</v>
      </c>
      <c r="E9" s="5" t="s">
        <v>359</v>
      </c>
      <c r="F9" s="5" t="s">
        <v>348</v>
      </c>
      <c r="G9" s="5" t="s">
        <v>371</v>
      </c>
      <c r="H9" s="5" t="s">
        <v>372</v>
      </c>
      <c r="I9" s="5" t="s">
        <v>362</v>
      </c>
      <c r="J9" s="5" t="s">
        <v>373</v>
      </c>
      <c r="K9" s="5" t="s">
        <v>364</v>
      </c>
      <c r="L9" s="5" t="s">
        <v>374</v>
      </c>
      <c r="M9" s="5" t="s">
        <v>366</v>
      </c>
    </row>
    <row r="10" spans="1:13" ht="57" customHeight="1" x14ac:dyDescent="0.2">
      <c r="A10" s="5" t="s">
        <v>375</v>
      </c>
      <c r="B10" s="5" t="s">
        <v>376</v>
      </c>
      <c r="C10" s="5" t="s">
        <v>377</v>
      </c>
      <c r="D10" s="5" t="s">
        <v>378</v>
      </c>
      <c r="E10" s="5" t="s">
        <v>359</v>
      </c>
      <c r="F10" s="5" t="s">
        <v>348</v>
      </c>
      <c r="G10" s="5" t="s">
        <v>379</v>
      </c>
      <c r="H10" s="5" t="s">
        <v>380</v>
      </c>
      <c r="I10" s="5" t="s">
        <v>362</v>
      </c>
      <c r="J10" s="5" t="s">
        <v>381</v>
      </c>
      <c r="K10" s="5" t="s">
        <v>382</v>
      </c>
      <c r="L10" s="5" t="s">
        <v>383</v>
      </c>
      <c r="M10" s="5" t="s">
        <v>366</v>
      </c>
    </row>
    <row r="11" spans="1:13" ht="57" customHeight="1" x14ac:dyDescent="0.2">
      <c r="A11" s="5" t="s">
        <v>384</v>
      </c>
      <c r="B11" s="5" t="s">
        <v>385</v>
      </c>
      <c r="C11" s="5" t="s">
        <v>386</v>
      </c>
      <c r="D11" s="5" t="s">
        <v>387</v>
      </c>
      <c r="E11" s="5" t="s">
        <v>359</v>
      </c>
      <c r="F11" s="5" t="s">
        <v>348</v>
      </c>
      <c r="G11" s="5" t="s">
        <v>388</v>
      </c>
      <c r="H11" s="5" t="s">
        <v>389</v>
      </c>
      <c r="I11" s="5" t="s">
        <v>390</v>
      </c>
      <c r="J11" s="5" t="s">
        <v>391</v>
      </c>
      <c r="K11" s="5" t="s">
        <v>392</v>
      </c>
      <c r="L11" s="5" t="s">
        <v>393</v>
      </c>
      <c r="M11" s="5" t="s">
        <v>394</v>
      </c>
    </row>
    <row r="12" spans="1:13" ht="57" customHeight="1" x14ac:dyDescent="0.2">
      <c r="A12" s="5" t="s">
        <v>395</v>
      </c>
      <c r="B12" s="5" t="s">
        <v>396</v>
      </c>
      <c r="C12" s="5" t="s">
        <v>397</v>
      </c>
      <c r="D12" s="5" t="s">
        <v>398</v>
      </c>
      <c r="E12" s="5" t="s">
        <v>359</v>
      </c>
      <c r="F12" s="5" t="s">
        <v>348</v>
      </c>
      <c r="G12" s="5" t="s">
        <v>399</v>
      </c>
      <c r="H12" s="5" t="s">
        <v>400</v>
      </c>
      <c r="I12" s="5" t="s">
        <v>362</v>
      </c>
      <c r="J12" s="5" t="s">
        <v>401</v>
      </c>
      <c r="K12" s="5" t="s">
        <v>402</v>
      </c>
      <c r="L12" s="5" t="s">
        <v>133</v>
      </c>
      <c r="M12" s="5" t="s">
        <v>366</v>
      </c>
    </row>
    <row r="13" spans="1:13" ht="57" customHeight="1" x14ac:dyDescent="0.2">
      <c r="A13" s="5" t="s">
        <v>403</v>
      </c>
      <c r="B13" s="5" t="s">
        <v>404</v>
      </c>
      <c r="C13" s="5" t="s">
        <v>405</v>
      </c>
      <c r="D13" s="5" t="s">
        <v>406</v>
      </c>
      <c r="E13" s="5" t="s">
        <v>359</v>
      </c>
      <c r="F13" s="5" t="s">
        <v>348</v>
      </c>
      <c r="G13" s="5" t="s">
        <v>407</v>
      </c>
      <c r="H13" s="5" t="s">
        <v>408</v>
      </c>
      <c r="I13" s="5" t="s">
        <v>362</v>
      </c>
      <c r="J13" s="5" t="s">
        <v>409</v>
      </c>
      <c r="K13" s="5" t="s">
        <v>364</v>
      </c>
      <c r="L13" s="5" t="s">
        <v>410</v>
      </c>
      <c r="M13" s="5" t="s">
        <v>366</v>
      </c>
    </row>
    <row r="14" spans="1:13" ht="57" customHeight="1" x14ac:dyDescent="0.2">
      <c r="A14" s="5" t="s">
        <v>411</v>
      </c>
      <c r="B14" s="5" t="s">
        <v>412</v>
      </c>
      <c r="C14" s="5" t="s">
        <v>413</v>
      </c>
      <c r="D14" s="5" t="s">
        <v>414</v>
      </c>
      <c r="E14" s="5" t="s">
        <v>359</v>
      </c>
      <c r="F14" s="5" t="s">
        <v>348</v>
      </c>
      <c r="G14" s="5" t="s">
        <v>415</v>
      </c>
      <c r="H14" s="5" t="s">
        <v>416</v>
      </c>
      <c r="I14" s="5" t="s">
        <v>390</v>
      </c>
      <c r="J14" s="5" t="s">
        <v>417</v>
      </c>
      <c r="K14" s="5" t="s">
        <v>392</v>
      </c>
      <c r="L14" s="5" t="s">
        <v>393</v>
      </c>
      <c r="M14" s="5" t="s">
        <v>418</v>
      </c>
    </row>
    <row r="15" spans="1:13" ht="57" customHeight="1" x14ac:dyDescent="0.2">
      <c r="A15" s="5" t="s">
        <v>419</v>
      </c>
      <c r="B15" s="5" t="s">
        <v>420</v>
      </c>
      <c r="C15" s="5" t="s">
        <v>421</v>
      </c>
      <c r="D15" s="5" t="s">
        <v>422</v>
      </c>
      <c r="E15" s="5" t="s">
        <v>359</v>
      </c>
      <c r="F15" s="5" t="s">
        <v>348</v>
      </c>
      <c r="G15" s="5" t="s">
        <v>423</v>
      </c>
      <c r="H15" s="5" t="s">
        <v>424</v>
      </c>
      <c r="I15" s="5" t="s">
        <v>390</v>
      </c>
      <c r="J15" s="5" t="s">
        <v>425</v>
      </c>
      <c r="K15" s="5" t="s">
        <v>392</v>
      </c>
      <c r="L15" s="5" t="s">
        <v>393</v>
      </c>
      <c r="M15" s="5" t="s">
        <v>426</v>
      </c>
    </row>
    <row r="16" spans="1:13" ht="57" customHeight="1" x14ac:dyDescent="0.2">
      <c r="A16" s="5" t="s">
        <v>427</v>
      </c>
      <c r="B16" s="5" t="s">
        <v>385</v>
      </c>
      <c r="C16" s="5" t="s">
        <v>428</v>
      </c>
      <c r="D16" s="5" t="s">
        <v>429</v>
      </c>
      <c r="E16" s="5" t="s">
        <v>359</v>
      </c>
      <c r="F16" s="5" t="s">
        <v>348</v>
      </c>
      <c r="G16" s="5" t="s">
        <v>430</v>
      </c>
      <c r="H16" s="5" t="s">
        <v>431</v>
      </c>
      <c r="I16" s="5" t="s">
        <v>390</v>
      </c>
      <c r="J16" s="5" t="s">
        <v>391</v>
      </c>
      <c r="K16" s="5" t="s">
        <v>392</v>
      </c>
      <c r="L16" s="5" t="s">
        <v>393</v>
      </c>
      <c r="M16" s="5" t="s">
        <v>394</v>
      </c>
    </row>
    <row r="17" spans="1:13" ht="57" customHeight="1" x14ac:dyDescent="0.2">
      <c r="A17" s="5" t="s">
        <v>432</v>
      </c>
      <c r="B17" s="5" t="s">
        <v>433</v>
      </c>
      <c r="C17" s="5" t="s">
        <v>434</v>
      </c>
      <c r="D17" s="5" t="s">
        <v>435</v>
      </c>
      <c r="E17" s="5" t="s">
        <v>359</v>
      </c>
      <c r="F17" s="5" t="s">
        <v>348</v>
      </c>
      <c r="G17" s="5" t="s">
        <v>436</v>
      </c>
      <c r="H17" s="5" t="s">
        <v>437</v>
      </c>
      <c r="I17" s="5" t="s">
        <v>362</v>
      </c>
      <c r="J17" s="5" t="s">
        <v>438</v>
      </c>
      <c r="K17" s="5" t="s">
        <v>402</v>
      </c>
      <c r="L17" s="5" t="s">
        <v>439</v>
      </c>
      <c r="M17" s="5" t="s">
        <v>366</v>
      </c>
    </row>
    <row r="18" spans="1:13" ht="57" customHeight="1" x14ac:dyDescent="0.2">
      <c r="A18" s="5" t="s">
        <v>440</v>
      </c>
      <c r="B18" s="5" t="s">
        <v>441</v>
      </c>
      <c r="C18" s="5" t="s">
        <v>442</v>
      </c>
      <c r="D18" s="5" t="s">
        <v>443</v>
      </c>
      <c r="E18" s="5" t="s">
        <v>359</v>
      </c>
      <c r="F18" s="5" t="s">
        <v>348</v>
      </c>
      <c r="G18" s="5" t="s">
        <v>444</v>
      </c>
      <c r="H18" s="5" t="s">
        <v>445</v>
      </c>
      <c r="I18" s="5" t="s">
        <v>362</v>
      </c>
      <c r="J18" s="5" t="s">
        <v>446</v>
      </c>
      <c r="K18" s="5" t="s">
        <v>364</v>
      </c>
      <c r="L18" s="5" t="s">
        <v>447</v>
      </c>
      <c r="M18" s="5" t="s">
        <v>366</v>
      </c>
    </row>
    <row r="19" spans="1:13" ht="57" customHeight="1" x14ac:dyDescent="0.2">
      <c r="A19" s="5" t="s">
        <v>448</v>
      </c>
      <c r="B19" s="5" t="s">
        <v>449</v>
      </c>
      <c r="C19" s="5" t="s">
        <v>450</v>
      </c>
      <c r="D19" s="5" t="s">
        <v>451</v>
      </c>
      <c r="E19" s="5" t="s">
        <v>359</v>
      </c>
      <c r="F19" s="5" t="s">
        <v>348</v>
      </c>
      <c r="G19" s="5" t="s">
        <v>452</v>
      </c>
      <c r="H19" s="5" t="s">
        <v>453</v>
      </c>
      <c r="I19" s="5" t="s">
        <v>362</v>
      </c>
      <c r="J19" s="5" t="s">
        <v>454</v>
      </c>
      <c r="K19" s="5" t="s">
        <v>392</v>
      </c>
      <c r="L19" s="5" t="s">
        <v>393</v>
      </c>
      <c r="M19" s="5" t="s">
        <v>455</v>
      </c>
    </row>
    <row r="20" spans="1:13" ht="57" customHeight="1" x14ac:dyDescent="0.2">
      <c r="A20" s="5" t="s">
        <v>456</v>
      </c>
      <c r="B20" s="5" t="s">
        <v>457</v>
      </c>
      <c r="C20" s="5" t="s">
        <v>458</v>
      </c>
      <c r="D20" s="5" t="s">
        <v>459</v>
      </c>
      <c r="E20" s="5" t="s">
        <v>359</v>
      </c>
      <c r="F20" s="5" t="s">
        <v>348</v>
      </c>
      <c r="G20" s="5" t="s">
        <v>460</v>
      </c>
      <c r="H20" s="5" t="s">
        <v>461</v>
      </c>
      <c r="I20" s="5" t="s">
        <v>362</v>
      </c>
      <c r="J20" s="5" t="s">
        <v>462</v>
      </c>
      <c r="K20" s="5" t="s">
        <v>392</v>
      </c>
      <c r="L20" s="5" t="s">
        <v>393</v>
      </c>
      <c r="M20" s="5" t="s">
        <v>463</v>
      </c>
    </row>
    <row r="21" spans="1:13" ht="57" customHeight="1" x14ac:dyDescent="0.2">
      <c r="A21" s="5" t="s">
        <v>464</v>
      </c>
      <c r="B21" s="5" t="s">
        <v>465</v>
      </c>
      <c r="C21" s="5" t="s">
        <v>466</v>
      </c>
      <c r="D21" s="5" t="s">
        <v>467</v>
      </c>
      <c r="E21" s="5" t="s">
        <v>359</v>
      </c>
      <c r="F21" s="5" t="s">
        <v>348</v>
      </c>
      <c r="G21" s="5" t="s">
        <v>468</v>
      </c>
      <c r="H21" s="5" t="s">
        <v>469</v>
      </c>
      <c r="I21" s="5" t="s">
        <v>362</v>
      </c>
      <c r="J21" s="5" t="s">
        <v>470</v>
      </c>
      <c r="K21" s="5" t="s">
        <v>392</v>
      </c>
      <c r="L21" s="5" t="s">
        <v>393</v>
      </c>
      <c r="M21" s="5" t="s">
        <v>471</v>
      </c>
    </row>
    <row r="22" spans="1:13" ht="72" customHeight="1" x14ac:dyDescent="0.2">
      <c r="A22" s="5" t="s">
        <v>472</v>
      </c>
      <c r="B22" s="5" t="s">
        <v>473</v>
      </c>
      <c r="C22" s="5" t="s">
        <v>474</v>
      </c>
      <c r="D22" s="5" t="s">
        <v>475</v>
      </c>
      <c r="E22" s="5" t="s">
        <v>359</v>
      </c>
      <c r="F22" s="5" t="s">
        <v>348</v>
      </c>
      <c r="G22" s="5" t="s">
        <v>476</v>
      </c>
      <c r="H22" s="5" t="s">
        <v>477</v>
      </c>
      <c r="I22" s="5" t="s">
        <v>362</v>
      </c>
      <c r="J22" s="5" t="s">
        <v>478</v>
      </c>
      <c r="K22" s="5" t="s">
        <v>402</v>
      </c>
      <c r="L22" s="5" t="s">
        <v>70</v>
      </c>
      <c r="M22" s="5" t="s">
        <v>366</v>
      </c>
    </row>
    <row r="23" spans="1:13" ht="87" customHeight="1" x14ac:dyDescent="0.2">
      <c r="A23" s="5" t="s">
        <v>479</v>
      </c>
      <c r="B23" s="5" t="s">
        <v>157</v>
      </c>
      <c r="C23" s="5" t="s">
        <v>480</v>
      </c>
      <c r="D23" s="5" t="s">
        <v>481</v>
      </c>
      <c r="E23" s="5" t="s">
        <v>347</v>
      </c>
      <c r="F23" s="5" t="s">
        <v>482</v>
      </c>
      <c r="G23" s="5"/>
      <c r="H23" s="5" t="s">
        <v>349</v>
      </c>
      <c r="I23" s="5" t="s">
        <v>350</v>
      </c>
      <c r="J23" s="5" t="s">
        <v>351</v>
      </c>
      <c r="K23" s="5" t="s">
        <v>352</v>
      </c>
      <c r="L23" s="5" t="s">
        <v>353</v>
      </c>
      <c r="M23" s="5" t="s">
        <v>483</v>
      </c>
    </row>
    <row r="24" spans="1:13" ht="57" customHeight="1" x14ac:dyDescent="0.2">
      <c r="A24" s="5" t="s">
        <v>484</v>
      </c>
      <c r="B24" s="5" t="s">
        <v>356</v>
      </c>
      <c r="C24" s="5" t="s">
        <v>485</v>
      </c>
      <c r="D24" s="5" t="s">
        <v>486</v>
      </c>
      <c r="E24" s="5" t="s">
        <v>359</v>
      </c>
      <c r="F24" s="5" t="s">
        <v>482</v>
      </c>
      <c r="G24" s="5" t="s">
        <v>487</v>
      </c>
      <c r="H24" s="5" t="s">
        <v>488</v>
      </c>
      <c r="I24" s="5" t="s">
        <v>362</v>
      </c>
      <c r="J24" s="5" t="s">
        <v>363</v>
      </c>
      <c r="K24" s="5" t="s">
        <v>364</v>
      </c>
      <c r="L24" s="5" t="s">
        <v>365</v>
      </c>
      <c r="M24" s="5" t="s">
        <v>366</v>
      </c>
    </row>
    <row r="25" spans="1:13" ht="57" customHeight="1" x14ac:dyDescent="0.2">
      <c r="A25" s="5" t="s">
        <v>489</v>
      </c>
      <c r="B25" s="5" t="s">
        <v>368</v>
      </c>
      <c r="C25" s="5" t="s">
        <v>490</v>
      </c>
      <c r="D25" s="5" t="s">
        <v>491</v>
      </c>
      <c r="E25" s="5" t="s">
        <v>359</v>
      </c>
      <c r="F25" s="5" t="s">
        <v>482</v>
      </c>
      <c r="G25" s="5" t="s">
        <v>492</v>
      </c>
      <c r="H25" s="5" t="s">
        <v>493</v>
      </c>
      <c r="I25" s="5" t="s">
        <v>362</v>
      </c>
      <c r="J25" s="5" t="s">
        <v>373</v>
      </c>
      <c r="K25" s="5" t="s">
        <v>364</v>
      </c>
      <c r="L25" s="5" t="s">
        <v>374</v>
      </c>
      <c r="M25" s="5" t="s">
        <v>366</v>
      </c>
    </row>
    <row r="26" spans="1:13" ht="57" customHeight="1" x14ac:dyDescent="0.2">
      <c r="A26" s="5" t="s">
        <v>494</v>
      </c>
      <c r="B26" s="5" t="s">
        <v>376</v>
      </c>
      <c r="C26" s="5" t="s">
        <v>495</v>
      </c>
      <c r="D26" s="5" t="s">
        <v>496</v>
      </c>
      <c r="E26" s="5" t="s">
        <v>359</v>
      </c>
      <c r="F26" s="5" t="s">
        <v>482</v>
      </c>
      <c r="G26" s="5" t="s">
        <v>497</v>
      </c>
      <c r="H26" s="5" t="s">
        <v>498</v>
      </c>
      <c r="I26" s="5" t="s">
        <v>362</v>
      </c>
      <c r="J26" s="5" t="s">
        <v>381</v>
      </c>
      <c r="K26" s="5" t="s">
        <v>382</v>
      </c>
      <c r="L26" s="5" t="s">
        <v>383</v>
      </c>
      <c r="M26" s="5" t="s">
        <v>366</v>
      </c>
    </row>
    <row r="27" spans="1:13" ht="72" customHeight="1" x14ac:dyDescent="0.2">
      <c r="A27" s="5" t="s">
        <v>499</v>
      </c>
      <c r="B27" s="5" t="s">
        <v>500</v>
      </c>
      <c r="C27" s="5" t="s">
        <v>501</v>
      </c>
      <c r="D27" s="5" t="s">
        <v>502</v>
      </c>
      <c r="E27" s="5" t="s">
        <v>359</v>
      </c>
      <c r="F27" s="5" t="s">
        <v>482</v>
      </c>
      <c r="G27" s="5" t="s">
        <v>503</v>
      </c>
      <c r="H27" s="5" t="s">
        <v>504</v>
      </c>
      <c r="I27" s="5" t="s">
        <v>362</v>
      </c>
      <c r="J27" s="5" t="s">
        <v>505</v>
      </c>
      <c r="K27" s="5" t="s">
        <v>392</v>
      </c>
      <c r="L27" s="5" t="s">
        <v>393</v>
      </c>
      <c r="M27" s="5" t="s">
        <v>506</v>
      </c>
    </row>
    <row r="28" spans="1:13" ht="72" customHeight="1" x14ac:dyDescent="0.2">
      <c r="A28" s="5" t="s">
        <v>507</v>
      </c>
      <c r="B28" s="5" t="s">
        <v>508</v>
      </c>
      <c r="C28" s="5" t="s">
        <v>509</v>
      </c>
      <c r="D28" s="5" t="s">
        <v>510</v>
      </c>
      <c r="E28" s="5" t="s">
        <v>359</v>
      </c>
      <c r="F28" s="5" t="s">
        <v>482</v>
      </c>
      <c r="G28" s="5" t="s">
        <v>511</v>
      </c>
      <c r="H28" s="5" t="s">
        <v>512</v>
      </c>
      <c r="I28" s="5" t="s">
        <v>362</v>
      </c>
      <c r="J28" s="5" t="s">
        <v>513</v>
      </c>
      <c r="K28" s="5" t="s">
        <v>514</v>
      </c>
      <c r="L28" s="5" t="s">
        <v>515</v>
      </c>
      <c r="M28" s="5" t="s">
        <v>366</v>
      </c>
    </row>
    <row r="29" spans="1:13" ht="72" customHeight="1" x14ac:dyDescent="0.2">
      <c r="A29" s="5" t="s">
        <v>516</v>
      </c>
      <c r="B29" s="5" t="s">
        <v>517</v>
      </c>
      <c r="C29" s="5" t="s">
        <v>518</v>
      </c>
      <c r="D29" s="5" t="s">
        <v>519</v>
      </c>
      <c r="E29" s="5" t="s">
        <v>359</v>
      </c>
      <c r="F29" s="5" t="s">
        <v>482</v>
      </c>
      <c r="G29" s="5" t="s">
        <v>520</v>
      </c>
      <c r="H29" s="5" t="s">
        <v>521</v>
      </c>
      <c r="I29" s="5" t="s">
        <v>362</v>
      </c>
      <c r="J29" s="5" t="s">
        <v>522</v>
      </c>
      <c r="K29" s="5" t="s">
        <v>364</v>
      </c>
      <c r="L29" s="5" t="s">
        <v>523</v>
      </c>
      <c r="M29" s="5" t="s">
        <v>366</v>
      </c>
    </row>
    <row r="30" spans="1:13" ht="72" customHeight="1" x14ac:dyDescent="0.2">
      <c r="A30" s="5" t="s">
        <v>524</v>
      </c>
      <c r="B30" s="5" t="s">
        <v>525</v>
      </c>
      <c r="C30" s="5" t="s">
        <v>526</v>
      </c>
      <c r="D30" s="5" t="s">
        <v>527</v>
      </c>
      <c r="E30" s="5" t="s">
        <v>359</v>
      </c>
      <c r="F30" s="5" t="s">
        <v>482</v>
      </c>
      <c r="G30" s="5" t="s">
        <v>528</v>
      </c>
      <c r="H30" s="5" t="s">
        <v>529</v>
      </c>
      <c r="I30" s="5" t="s">
        <v>362</v>
      </c>
      <c r="J30" s="5" t="s">
        <v>530</v>
      </c>
      <c r="K30" s="5" t="s">
        <v>364</v>
      </c>
      <c r="L30" s="5" t="s">
        <v>531</v>
      </c>
      <c r="M30" s="5" t="s">
        <v>366</v>
      </c>
    </row>
    <row r="31" spans="1:13" ht="72" customHeight="1" x14ac:dyDescent="0.2">
      <c r="A31" s="5" t="s">
        <v>532</v>
      </c>
      <c r="B31" s="5" t="s">
        <v>533</v>
      </c>
      <c r="C31" s="5" t="s">
        <v>534</v>
      </c>
      <c r="D31" s="5" t="s">
        <v>535</v>
      </c>
      <c r="E31" s="5" t="s">
        <v>359</v>
      </c>
      <c r="F31" s="5" t="s">
        <v>482</v>
      </c>
      <c r="G31" s="5" t="s">
        <v>536</v>
      </c>
      <c r="H31" s="5" t="s">
        <v>537</v>
      </c>
      <c r="I31" s="5" t="s">
        <v>362</v>
      </c>
      <c r="J31" s="5" t="s">
        <v>538</v>
      </c>
      <c r="K31" s="5" t="s">
        <v>364</v>
      </c>
      <c r="L31" s="5" t="s">
        <v>539</v>
      </c>
      <c r="M31" s="5" t="s">
        <v>366</v>
      </c>
    </row>
    <row r="32" spans="1:13" ht="72" customHeight="1" x14ac:dyDescent="0.2">
      <c r="A32" s="5" t="s">
        <v>540</v>
      </c>
      <c r="B32" s="5" t="s">
        <v>541</v>
      </c>
      <c r="C32" s="5" t="s">
        <v>542</v>
      </c>
      <c r="D32" s="5" t="s">
        <v>543</v>
      </c>
      <c r="E32" s="5" t="s">
        <v>359</v>
      </c>
      <c r="F32" s="5" t="s">
        <v>482</v>
      </c>
      <c r="G32" s="5" t="s">
        <v>544</v>
      </c>
      <c r="H32" s="5" t="s">
        <v>545</v>
      </c>
      <c r="I32" s="5" t="s">
        <v>362</v>
      </c>
      <c r="J32" s="5" t="s">
        <v>546</v>
      </c>
      <c r="K32" s="5" t="s">
        <v>364</v>
      </c>
      <c r="L32" s="5" t="s">
        <v>547</v>
      </c>
      <c r="M32" s="5" t="s">
        <v>366</v>
      </c>
    </row>
    <row r="33" spans="1:13" ht="72" customHeight="1" x14ac:dyDescent="0.2">
      <c r="A33" s="5" t="s">
        <v>548</v>
      </c>
      <c r="B33" s="5" t="s">
        <v>549</v>
      </c>
      <c r="C33" s="5" t="s">
        <v>550</v>
      </c>
      <c r="D33" s="5" t="s">
        <v>551</v>
      </c>
      <c r="E33" s="5" t="s">
        <v>359</v>
      </c>
      <c r="F33" s="5" t="s">
        <v>482</v>
      </c>
      <c r="G33" s="5" t="s">
        <v>552</v>
      </c>
      <c r="H33" s="5" t="s">
        <v>553</v>
      </c>
      <c r="I33" s="5" t="s">
        <v>362</v>
      </c>
      <c r="J33" s="5" t="s">
        <v>554</v>
      </c>
      <c r="K33" s="5" t="s">
        <v>364</v>
      </c>
      <c r="L33" s="5" t="s">
        <v>555</v>
      </c>
      <c r="M33" s="5" t="s">
        <v>366</v>
      </c>
    </row>
    <row r="34" spans="1:13" ht="72" customHeight="1" x14ac:dyDescent="0.2">
      <c r="A34" s="5" t="s">
        <v>556</v>
      </c>
      <c r="B34" s="5" t="s">
        <v>557</v>
      </c>
      <c r="C34" s="5" t="s">
        <v>558</v>
      </c>
      <c r="D34" s="5" t="s">
        <v>559</v>
      </c>
      <c r="E34" s="5" t="s">
        <v>359</v>
      </c>
      <c r="F34" s="5" t="s">
        <v>482</v>
      </c>
      <c r="G34" s="5" t="s">
        <v>560</v>
      </c>
      <c r="H34" s="5" t="s">
        <v>561</v>
      </c>
      <c r="I34" s="5" t="s">
        <v>362</v>
      </c>
      <c r="J34" s="5" t="s">
        <v>562</v>
      </c>
      <c r="K34" s="5" t="s">
        <v>364</v>
      </c>
      <c r="L34" s="5" t="s">
        <v>563</v>
      </c>
      <c r="M34" s="5" t="s">
        <v>366</v>
      </c>
    </row>
    <row r="35" spans="1:13" ht="57" customHeight="1" x14ac:dyDescent="0.2">
      <c r="A35" s="5" t="s">
        <v>564</v>
      </c>
      <c r="B35" s="5" t="s">
        <v>565</v>
      </c>
      <c r="C35" s="5" t="s">
        <v>566</v>
      </c>
      <c r="D35" s="5" t="s">
        <v>567</v>
      </c>
      <c r="E35" s="5" t="s">
        <v>359</v>
      </c>
      <c r="F35" s="5" t="s">
        <v>482</v>
      </c>
      <c r="G35" s="5" t="s">
        <v>568</v>
      </c>
      <c r="H35" s="5" t="s">
        <v>569</v>
      </c>
      <c r="I35" s="5" t="s">
        <v>362</v>
      </c>
      <c r="J35" s="5" t="s">
        <v>570</v>
      </c>
      <c r="K35" s="5" t="s">
        <v>571</v>
      </c>
      <c r="L35" s="5" t="s">
        <v>572</v>
      </c>
      <c r="M35" s="5" t="s">
        <v>573</v>
      </c>
    </row>
    <row r="36" spans="1:13" ht="87" customHeight="1" x14ac:dyDescent="0.2">
      <c r="A36" s="5" t="s">
        <v>574</v>
      </c>
      <c r="B36" s="5" t="s">
        <v>226</v>
      </c>
      <c r="C36" s="5" t="s">
        <v>575</v>
      </c>
      <c r="D36" s="5" t="s">
        <v>576</v>
      </c>
      <c r="E36" s="5" t="s">
        <v>347</v>
      </c>
      <c r="F36" s="5" t="s">
        <v>577</v>
      </c>
      <c r="G36" s="5"/>
      <c r="H36" s="5" t="s">
        <v>349</v>
      </c>
      <c r="I36" s="5" t="s">
        <v>350</v>
      </c>
      <c r="J36" s="5" t="s">
        <v>351</v>
      </c>
      <c r="K36" s="5" t="s">
        <v>352</v>
      </c>
      <c r="L36" s="5" t="s">
        <v>353</v>
      </c>
      <c r="M36" s="5" t="s">
        <v>578</v>
      </c>
    </row>
    <row r="37" spans="1:13" ht="57" customHeight="1" x14ac:dyDescent="0.2">
      <c r="A37" s="5" t="s">
        <v>579</v>
      </c>
      <c r="B37" s="5" t="s">
        <v>356</v>
      </c>
      <c r="C37" s="5" t="s">
        <v>580</v>
      </c>
      <c r="D37" s="5" t="s">
        <v>581</v>
      </c>
      <c r="E37" s="5" t="s">
        <v>359</v>
      </c>
      <c r="F37" s="5" t="s">
        <v>577</v>
      </c>
      <c r="G37" s="5" t="s">
        <v>582</v>
      </c>
      <c r="H37" s="5" t="s">
        <v>583</v>
      </c>
      <c r="I37" s="5" t="s">
        <v>362</v>
      </c>
      <c r="J37" s="5" t="s">
        <v>363</v>
      </c>
      <c r="K37" s="5" t="s">
        <v>364</v>
      </c>
      <c r="L37" s="5" t="s">
        <v>365</v>
      </c>
      <c r="M37" s="5" t="s">
        <v>366</v>
      </c>
    </row>
    <row r="38" spans="1:13" ht="57" customHeight="1" x14ac:dyDescent="0.2">
      <c r="A38" s="5" t="s">
        <v>584</v>
      </c>
      <c r="B38" s="5" t="s">
        <v>368</v>
      </c>
      <c r="C38" s="5" t="s">
        <v>585</v>
      </c>
      <c r="D38" s="5" t="s">
        <v>586</v>
      </c>
      <c r="E38" s="5" t="s">
        <v>359</v>
      </c>
      <c r="F38" s="5" t="s">
        <v>577</v>
      </c>
      <c r="G38" s="5" t="s">
        <v>587</v>
      </c>
      <c r="H38" s="5" t="s">
        <v>588</v>
      </c>
      <c r="I38" s="5" t="s">
        <v>362</v>
      </c>
      <c r="J38" s="5" t="s">
        <v>373</v>
      </c>
      <c r="K38" s="5" t="s">
        <v>364</v>
      </c>
      <c r="L38" s="5" t="s">
        <v>374</v>
      </c>
      <c r="M38" s="5" t="s">
        <v>366</v>
      </c>
    </row>
    <row r="39" spans="1:13" ht="57" customHeight="1" x14ac:dyDescent="0.2">
      <c r="A39" s="5" t="s">
        <v>589</v>
      </c>
      <c r="B39" s="5" t="s">
        <v>376</v>
      </c>
      <c r="C39" s="5" t="s">
        <v>590</v>
      </c>
      <c r="D39" s="5" t="s">
        <v>591</v>
      </c>
      <c r="E39" s="5" t="s">
        <v>359</v>
      </c>
      <c r="F39" s="5" t="s">
        <v>577</v>
      </c>
      <c r="G39" s="5" t="s">
        <v>592</v>
      </c>
      <c r="H39" s="5" t="s">
        <v>593</v>
      </c>
      <c r="I39" s="5" t="s">
        <v>362</v>
      </c>
      <c r="J39" s="5" t="s">
        <v>381</v>
      </c>
      <c r="K39" s="5" t="s">
        <v>382</v>
      </c>
      <c r="L39" s="5" t="s">
        <v>383</v>
      </c>
      <c r="M39" s="5" t="s">
        <v>366</v>
      </c>
    </row>
    <row r="40" spans="1:13" ht="57" customHeight="1" x14ac:dyDescent="0.2">
      <c r="A40" s="5" t="s">
        <v>594</v>
      </c>
      <c r="B40" s="5" t="s">
        <v>595</v>
      </c>
      <c r="C40" s="5" t="s">
        <v>596</v>
      </c>
      <c r="D40" s="5" t="s">
        <v>597</v>
      </c>
      <c r="E40" s="5" t="s">
        <v>359</v>
      </c>
      <c r="F40" s="5" t="s">
        <v>577</v>
      </c>
      <c r="G40" s="5" t="s">
        <v>598</v>
      </c>
      <c r="H40" s="5" t="s">
        <v>599</v>
      </c>
      <c r="I40" s="5" t="s">
        <v>362</v>
      </c>
      <c r="J40" s="5" t="s">
        <v>600</v>
      </c>
      <c r="K40" s="5" t="s">
        <v>392</v>
      </c>
      <c r="L40" s="5" t="s">
        <v>393</v>
      </c>
      <c r="M40" s="5" t="s">
        <v>601</v>
      </c>
    </row>
    <row r="41" spans="1:13" ht="57" customHeight="1" x14ac:dyDescent="0.2">
      <c r="A41" s="5" t="s">
        <v>602</v>
      </c>
      <c r="B41" s="5" t="s">
        <v>603</v>
      </c>
      <c r="C41" s="5" t="s">
        <v>604</v>
      </c>
      <c r="D41" s="5" t="s">
        <v>605</v>
      </c>
      <c r="E41" s="5" t="s">
        <v>359</v>
      </c>
      <c r="F41" s="5" t="s">
        <v>577</v>
      </c>
      <c r="G41" s="5" t="s">
        <v>606</v>
      </c>
      <c r="H41" s="5" t="s">
        <v>607</v>
      </c>
      <c r="I41" s="5" t="s">
        <v>362</v>
      </c>
      <c r="J41" s="5" t="s">
        <v>608</v>
      </c>
      <c r="K41" s="5" t="s">
        <v>392</v>
      </c>
      <c r="L41" s="5" t="s">
        <v>393</v>
      </c>
      <c r="M41" s="5" t="s">
        <v>609</v>
      </c>
    </row>
    <row r="42" spans="1:13" ht="57" customHeight="1" x14ac:dyDescent="0.2">
      <c r="A42" s="5" t="s">
        <v>610</v>
      </c>
      <c r="B42" s="5" t="s">
        <v>412</v>
      </c>
      <c r="C42" s="5" t="s">
        <v>611</v>
      </c>
      <c r="D42" s="5" t="s">
        <v>612</v>
      </c>
      <c r="E42" s="5" t="s">
        <v>359</v>
      </c>
      <c r="F42" s="5" t="s">
        <v>577</v>
      </c>
      <c r="G42" s="5" t="s">
        <v>613</v>
      </c>
      <c r="H42" s="5" t="s">
        <v>614</v>
      </c>
      <c r="I42" s="5" t="s">
        <v>390</v>
      </c>
      <c r="J42" s="5" t="s">
        <v>417</v>
      </c>
      <c r="K42" s="5" t="s">
        <v>392</v>
      </c>
      <c r="L42" s="5" t="s">
        <v>393</v>
      </c>
      <c r="M42" s="5" t="s">
        <v>418</v>
      </c>
    </row>
    <row r="43" spans="1:13" ht="57" customHeight="1" x14ac:dyDescent="0.2">
      <c r="A43" s="5" t="s">
        <v>615</v>
      </c>
      <c r="B43" s="5" t="s">
        <v>616</v>
      </c>
      <c r="C43" s="5" t="s">
        <v>617</v>
      </c>
      <c r="D43" s="5" t="s">
        <v>618</v>
      </c>
      <c r="E43" s="5" t="s">
        <v>359</v>
      </c>
      <c r="F43" s="5" t="s">
        <v>577</v>
      </c>
      <c r="G43" s="5" t="s">
        <v>619</v>
      </c>
      <c r="H43" s="5" t="s">
        <v>620</v>
      </c>
      <c r="I43" s="5" t="s">
        <v>390</v>
      </c>
      <c r="J43" s="5" t="s">
        <v>621</v>
      </c>
      <c r="K43" s="5" t="s">
        <v>364</v>
      </c>
      <c r="L43" s="5" t="s">
        <v>622</v>
      </c>
      <c r="M43" s="5" t="s">
        <v>366</v>
      </c>
    </row>
    <row r="44" spans="1:13" ht="72" customHeight="1" x14ac:dyDescent="0.2">
      <c r="A44" s="5" t="s">
        <v>623</v>
      </c>
      <c r="B44" s="5" t="s">
        <v>624</v>
      </c>
      <c r="C44" s="5" t="s">
        <v>625</v>
      </c>
      <c r="D44" s="5" t="s">
        <v>626</v>
      </c>
      <c r="E44" s="5" t="s">
        <v>359</v>
      </c>
      <c r="F44" s="5" t="s">
        <v>577</v>
      </c>
      <c r="G44" s="5" t="s">
        <v>627</v>
      </c>
      <c r="H44" s="5" t="s">
        <v>628</v>
      </c>
      <c r="I44" s="5" t="s">
        <v>362</v>
      </c>
      <c r="J44" s="5" t="s">
        <v>629</v>
      </c>
      <c r="K44" s="5" t="s">
        <v>514</v>
      </c>
      <c r="L44" s="5" t="s">
        <v>515</v>
      </c>
      <c r="M44" s="5" t="s">
        <v>366</v>
      </c>
    </row>
    <row r="45" spans="1:13" ht="57" customHeight="1" x14ac:dyDescent="0.2">
      <c r="A45" s="5" t="s">
        <v>630</v>
      </c>
      <c r="B45" s="5" t="s">
        <v>412</v>
      </c>
      <c r="C45" s="5" t="s">
        <v>631</v>
      </c>
      <c r="D45" s="5" t="s">
        <v>632</v>
      </c>
      <c r="E45" s="5" t="s">
        <v>359</v>
      </c>
      <c r="F45" s="5" t="s">
        <v>577</v>
      </c>
      <c r="G45" s="5" t="s">
        <v>633</v>
      </c>
      <c r="H45" s="5" t="s">
        <v>634</v>
      </c>
      <c r="I45" s="5" t="s">
        <v>390</v>
      </c>
      <c r="J45" s="5" t="s">
        <v>417</v>
      </c>
      <c r="K45" s="5" t="s">
        <v>392</v>
      </c>
      <c r="L45" s="5" t="s">
        <v>393</v>
      </c>
      <c r="M45" s="5" t="s">
        <v>418</v>
      </c>
    </row>
    <row r="46" spans="1:13" ht="57" customHeight="1" x14ac:dyDescent="0.2">
      <c r="A46" s="5" t="s">
        <v>635</v>
      </c>
      <c r="B46" s="5" t="s">
        <v>636</v>
      </c>
      <c r="C46" s="5" t="s">
        <v>637</v>
      </c>
      <c r="D46" s="5" t="s">
        <v>638</v>
      </c>
      <c r="E46" s="5" t="s">
        <v>359</v>
      </c>
      <c r="F46" s="5" t="s">
        <v>577</v>
      </c>
      <c r="G46" s="5" t="s">
        <v>639</v>
      </c>
      <c r="H46" s="5" t="s">
        <v>640</v>
      </c>
      <c r="I46" s="5" t="s">
        <v>362</v>
      </c>
      <c r="J46" s="5" t="s">
        <v>641</v>
      </c>
      <c r="K46" s="5" t="s">
        <v>402</v>
      </c>
      <c r="L46" s="5" t="s">
        <v>439</v>
      </c>
      <c r="M46" s="5" t="s">
        <v>366</v>
      </c>
    </row>
    <row r="47" spans="1:13" ht="57" customHeight="1" x14ac:dyDescent="0.2">
      <c r="A47" s="5" t="s">
        <v>642</v>
      </c>
      <c r="B47" s="5" t="s">
        <v>643</v>
      </c>
      <c r="C47" s="5" t="s">
        <v>644</v>
      </c>
      <c r="D47" s="5" t="s">
        <v>645</v>
      </c>
      <c r="E47" s="5" t="s">
        <v>359</v>
      </c>
      <c r="F47" s="5" t="s">
        <v>577</v>
      </c>
      <c r="G47" s="5" t="s">
        <v>646</v>
      </c>
      <c r="H47" s="5" t="s">
        <v>647</v>
      </c>
      <c r="I47" s="5" t="s">
        <v>362</v>
      </c>
      <c r="J47" s="5" t="s">
        <v>648</v>
      </c>
      <c r="K47" s="5" t="s">
        <v>364</v>
      </c>
      <c r="L47" s="5" t="s">
        <v>649</v>
      </c>
      <c r="M47" s="5" t="s">
        <v>366</v>
      </c>
    </row>
    <row r="48" spans="1:13" ht="57" customHeight="1" x14ac:dyDescent="0.2">
      <c r="A48" s="5" t="s">
        <v>650</v>
      </c>
      <c r="B48" s="5" t="s">
        <v>651</v>
      </c>
      <c r="C48" s="5" t="s">
        <v>652</v>
      </c>
      <c r="D48" s="5" t="s">
        <v>653</v>
      </c>
      <c r="E48" s="5" t="s">
        <v>359</v>
      </c>
      <c r="F48" s="5" t="s">
        <v>577</v>
      </c>
      <c r="G48" s="5" t="s">
        <v>654</v>
      </c>
      <c r="H48" s="5" t="s">
        <v>655</v>
      </c>
      <c r="I48" s="5" t="s">
        <v>362</v>
      </c>
      <c r="J48" s="5" t="s">
        <v>656</v>
      </c>
      <c r="K48" s="5" t="s">
        <v>364</v>
      </c>
      <c r="L48" s="5" t="s">
        <v>657</v>
      </c>
      <c r="M48" s="5" t="s">
        <v>366</v>
      </c>
    </row>
    <row r="49" spans="1:13" ht="57" customHeight="1" x14ac:dyDescent="0.2">
      <c r="A49" s="5" t="s">
        <v>658</v>
      </c>
      <c r="B49" s="5" t="s">
        <v>659</v>
      </c>
      <c r="C49" s="5" t="s">
        <v>660</v>
      </c>
      <c r="D49" s="5" t="s">
        <v>661</v>
      </c>
      <c r="E49" s="5" t="s">
        <v>359</v>
      </c>
      <c r="F49" s="5" t="s">
        <v>577</v>
      </c>
      <c r="G49" s="5" t="s">
        <v>662</v>
      </c>
      <c r="H49" s="5" t="s">
        <v>663</v>
      </c>
      <c r="I49" s="5" t="s">
        <v>362</v>
      </c>
      <c r="J49" s="5" t="s">
        <v>664</v>
      </c>
      <c r="K49" s="5" t="s">
        <v>402</v>
      </c>
      <c r="L49" s="5" t="s">
        <v>276</v>
      </c>
      <c r="M49" s="5" t="s">
        <v>366</v>
      </c>
    </row>
    <row r="50" spans="1:13" ht="87" customHeight="1" x14ac:dyDescent="0.2">
      <c r="A50" s="5" t="s">
        <v>665</v>
      </c>
      <c r="B50" s="5" t="s">
        <v>325</v>
      </c>
      <c r="C50" s="5" t="s">
        <v>666</v>
      </c>
      <c r="D50" s="5" t="s">
        <v>667</v>
      </c>
      <c r="E50" s="5" t="s">
        <v>347</v>
      </c>
      <c r="F50" s="5" t="s">
        <v>668</v>
      </c>
      <c r="G50" s="5"/>
      <c r="H50" s="5" t="s">
        <v>349</v>
      </c>
      <c r="I50" s="5" t="s">
        <v>350</v>
      </c>
      <c r="J50" s="5" t="s">
        <v>351</v>
      </c>
      <c r="K50" s="5" t="s">
        <v>352</v>
      </c>
      <c r="L50" s="5" t="s">
        <v>353</v>
      </c>
      <c r="M50" s="5" t="s">
        <v>669</v>
      </c>
    </row>
    <row r="51" spans="1:13" ht="57" customHeight="1" x14ac:dyDescent="0.2">
      <c r="A51" s="5" t="s">
        <v>670</v>
      </c>
      <c r="B51" s="5" t="s">
        <v>356</v>
      </c>
      <c r="C51" s="5" t="s">
        <v>671</v>
      </c>
      <c r="D51" s="5" t="s">
        <v>672</v>
      </c>
      <c r="E51" s="5" t="s">
        <v>359</v>
      </c>
      <c r="F51" s="5" t="s">
        <v>668</v>
      </c>
      <c r="G51" s="5" t="s">
        <v>673</v>
      </c>
      <c r="H51" s="5" t="s">
        <v>674</v>
      </c>
      <c r="I51" s="5" t="s">
        <v>362</v>
      </c>
      <c r="J51" s="5" t="s">
        <v>363</v>
      </c>
      <c r="K51" s="5" t="s">
        <v>364</v>
      </c>
      <c r="L51" s="5" t="s">
        <v>365</v>
      </c>
      <c r="M51" s="5" t="s">
        <v>366</v>
      </c>
    </row>
    <row r="52" spans="1:13" ht="57" customHeight="1" x14ac:dyDescent="0.2">
      <c r="A52" s="5" t="s">
        <v>675</v>
      </c>
      <c r="B52" s="5" t="s">
        <v>368</v>
      </c>
      <c r="C52" s="5" t="s">
        <v>676</v>
      </c>
      <c r="D52" s="5" t="s">
        <v>677</v>
      </c>
      <c r="E52" s="5" t="s">
        <v>359</v>
      </c>
      <c r="F52" s="5" t="s">
        <v>668</v>
      </c>
      <c r="G52" s="5" t="s">
        <v>678</v>
      </c>
      <c r="H52" s="5" t="s">
        <v>679</v>
      </c>
      <c r="I52" s="5" t="s">
        <v>362</v>
      </c>
      <c r="J52" s="5" t="s">
        <v>373</v>
      </c>
      <c r="K52" s="5" t="s">
        <v>364</v>
      </c>
      <c r="L52" s="5" t="s">
        <v>374</v>
      </c>
      <c r="M52" s="5" t="s">
        <v>366</v>
      </c>
    </row>
    <row r="53" spans="1:13" ht="57" customHeight="1" x14ac:dyDescent="0.2">
      <c r="A53" s="5" t="s">
        <v>680</v>
      </c>
      <c r="B53" s="5" t="s">
        <v>376</v>
      </c>
      <c r="C53" s="5" t="s">
        <v>681</v>
      </c>
      <c r="D53" s="5" t="s">
        <v>682</v>
      </c>
      <c r="E53" s="5" t="s">
        <v>359</v>
      </c>
      <c r="F53" s="5" t="s">
        <v>668</v>
      </c>
      <c r="G53" s="5" t="s">
        <v>683</v>
      </c>
      <c r="H53" s="5" t="s">
        <v>684</v>
      </c>
      <c r="I53" s="5" t="s">
        <v>362</v>
      </c>
      <c r="J53" s="5" t="s">
        <v>381</v>
      </c>
      <c r="K53" s="5" t="s">
        <v>382</v>
      </c>
      <c r="L53" s="5" t="s">
        <v>383</v>
      </c>
      <c r="M53" s="5" t="s">
        <v>366</v>
      </c>
    </row>
    <row r="54" spans="1:13" ht="72" customHeight="1" x14ac:dyDescent="0.2">
      <c r="A54" s="5" t="s">
        <v>685</v>
      </c>
      <c r="B54" s="5" t="s">
        <v>500</v>
      </c>
      <c r="C54" s="5" t="s">
        <v>686</v>
      </c>
      <c r="D54" s="5" t="s">
        <v>687</v>
      </c>
      <c r="E54" s="5" t="s">
        <v>359</v>
      </c>
      <c r="F54" s="5" t="s">
        <v>668</v>
      </c>
      <c r="G54" s="5" t="s">
        <v>688</v>
      </c>
      <c r="H54" s="5" t="s">
        <v>689</v>
      </c>
      <c r="I54" s="5" t="s">
        <v>362</v>
      </c>
      <c r="J54" s="5" t="s">
        <v>505</v>
      </c>
      <c r="K54" s="5" t="s">
        <v>392</v>
      </c>
      <c r="L54" s="5" t="s">
        <v>393</v>
      </c>
      <c r="M54" s="5" t="s">
        <v>506</v>
      </c>
    </row>
    <row r="55" spans="1:13" ht="57" customHeight="1" x14ac:dyDescent="0.2">
      <c r="A55" s="5" t="s">
        <v>690</v>
      </c>
      <c r="B55" s="5" t="s">
        <v>691</v>
      </c>
      <c r="C55" s="5" t="s">
        <v>692</v>
      </c>
      <c r="D55" s="5" t="s">
        <v>693</v>
      </c>
      <c r="E55" s="5" t="s">
        <v>359</v>
      </c>
      <c r="F55" s="5" t="s">
        <v>668</v>
      </c>
      <c r="G55" s="5" t="s">
        <v>694</v>
      </c>
      <c r="H55" s="5" t="s">
        <v>695</v>
      </c>
      <c r="I55" s="5" t="s">
        <v>362</v>
      </c>
      <c r="J55" s="5" t="s">
        <v>696</v>
      </c>
      <c r="K55" s="5" t="s">
        <v>402</v>
      </c>
      <c r="L55" s="5" t="s">
        <v>347</v>
      </c>
      <c r="M55" s="5" t="s">
        <v>366</v>
      </c>
    </row>
    <row r="56" spans="1:13" ht="57" customHeight="1" x14ac:dyDescent="0.2">
      <c r="A56" s="5" t="s">
        <v>697</v>
      </c>
      <c r="B56" s="5" t="s">
        <v>698</v>
      </c>
      <c r="C56" s="5" t="s">
        <v>699</v>
      </c>
      <c r="D56" s="5" t="s">
        <v>700</v>
      </c>
      <c r="E56" s="5" t="s">
        <v>359</v>
      </c>
      <c r="F56" s="5" t="s">
        <v>668</v>
      </c>
      <c r="G56" s="5" t="s">
        <v>701</v>
      </c>
      <c r="H56" s="5" t="s">
        <v>702</v>
      </c>
      <c r="I56" s="5" t="s">
        <v>703</v>
      </c>
      <c r="J56" s="5" t="s">
        <v>704</v>
      </c>
      <c r="K56" s="5" t="s">
        <v>392</v>
      </c>
      <c r="L56" s="5" t="s">
        <v>393</v>
      </c>
      <c r="M56" s="5" t="s">
        <v>705</v>
      </c>
    </row>
    <row r="57" spans="1:13" ht="57" customHeight="1" x14ac:dyDescent="0.2">
      <c r="A57" s="5" t="s">
        <v>706</v>
      </c>
      <c r="B57" s="5" t="s">
        <v>707</v>
      </c>
      <c r="C57" s="5" t="s">
        <v>708</v>
      </c>
      <c r="D57" s="5" t="s">
        <v>709</v>
      </c>
      <c r="E57" s="5" t="s">
        <v>359</v>
      </c>
      <c r="F57" s="5" t="s">
        <v>668</v>
      </c>
      <c r="G57" s="5" t="s">
        <v>710</v>
      </c>
      <c r="H57" s="5" t="s">
        <v>711</v>
      </c>
      <c r="I57" s="5" t="s">
        <v>712</v>
      </c>
      <c r="J57" s="5" t="s">
        <v>713</v>
      </c>
      <c r="K57" s="5" t="s">
        <v>392</v>
      </c>
      <c r="L57" s="5" t="s">
        <v>393</v>
      </c>
      <c r="M57" s="5" t="s">
        <v>714</v>
      </c>
    </row>
    <row r="58" spans="1:13" ht="72" customHeight="1" x14ac:dyDescent="0.2">
      <c r="A58" s="5" t="s">
        <v>715</v>
      </c>
      <c r="B58" s="5" t="s">
        <v>716</v>
      </c>
      <c r="C58" s="5" t="s">
        <v>717</v>
      </c>
      <c r="D58" s="5" t="s">
        <v>718</v>
      </c>
      <c r="E58" s="5" t="s">
        <v>359</v>
      </c>
      <c r="F58" s="5" t="s">
        <v>668</v>
      </c>
      <c r="G58" s="5" t="s">
        <v>719</v>
      </c>
      <c r="H58" s="5" t="s">
        <v>720</v>
      </c>
      <c r="I58" s="5" t="s">
        <v>362</v>
      </c>
      <c r="J58" s="5" t="s">
        <v>721</v>
      </c>
      <c r="K58" s="5" t="s">
        <v>364</v>
      </c>
      <c r="L58" s="5" t="s">
        <v>722</v>
      </c>
      <c r="M58" s="5" t="s">
        <v>366</v>
      </c>
    </row>
    <row r="59" spans="1:13" ht="57" customHeight="1" x14ac:dyDescent="0.2">
      <c r="A59" s="5" t="s">
        <v>723</v>
      </c>
      <c r="B59" s="5" t="s">
        <v>724</v>
      </c>
      <c r="C59" s="5" t="s">
        <v>725</v>
      </c>
      <c r="D59" s="5" t="s">
        <v>726</v>
      </c>
      <c r="E59" s="5" t="s">
        <v>359</v>
      </c>
      <c r="F59" s="5" t="s">
        <v>668</v>
      </c>
      <c r="G59" s="5" t="s">
        <v>727</v>
      </c>
      <c r="H59" s="5" t="s">
        <v>728</v>
      </c>
      <c r="I59" s="5" t="s">
        <v>362</v>
      </c>
      <c r="J59" s="5" t="s">
        <v>729</v>
      </c>
      <c r="K59" s="5" t="s">
        <v>364</v>
      </c>
      <c r="L59" s="5" t="s">
        <v>730</v>
      </c>
      <c r="M59" s="5" t="s">
        <v>366</v>
      </c>
    </row>
    <row r="60" spans="1:13" ht="57" customHeight="1" x14ac:dyDescent="0.2">
      <c r="A60" s="5" t="s">
        <v>731</v>
      </c>
      <c r="B60" s="5" t="s">
        <v>732</v>
      </c>
      <c r="C60" s="5" t="s">
        <v>733</v>
      </c>
      <c r="D60" s="5" t="s">
        <v>734</v>
      </c>
      <c r="E60" s="5" t="s">
        <v>359</v>
      </c>
      <c r="F60" s="5" t="s">
        <v>668</v>
      </c>
      <c r="G60" s="5" t="s">
        <v>735</v>
      </c>
      <c r="H60" s="5" t="s">
        <v>736</v>
      </c>
      <c r="I60" s="5" t="s">
        <v>362</v>
      </c>
      <c r="J60" s="5" t="s">
        <v>737</v>
      </c>
      <c r="K60" s="5" t="s">
        <v>364</v>
      </c>
      <c r="L60" s="5" t="s">
        <v>738</v>
      </c>
      <c r="M60" s="5" t="s">
        <v>366</v>
      </c>
    </row>
    <row r="61" spans="1:13" ht="57" customHeight="1" x14ac:dyDescent="0.2">
      <c r="A61" s="5" t="s">
        <v>739</v>
      </c>
      <c r="B61" s="5" t="s">
        <v>740</v>
      </c>
      <c r="C61" s="5" t="s">
        <v>741</v>
      </c>
      <c r="D61" s="5" t="s">
        <v>742</v>
      </c>
      <c r="E61" s="5" t="s">
        <v>359</v>
      </c>
      <c r="F61" s="5" t="s">
        <v>668</v>
      </c>
      <c r="G61" s="5" t="s">
        <v>743</v>
      </c>
      <c r="H61" s="5" t="s">
        <v>744</v>
      </c>
      <c r="I61" s="5" t="s">
        <v>362</v>
      </c>
      <c r="J61" s="5" t="s">
        <v>745</v>
      </c>
      <c r="K61" s="5" t="s">
        <v>364</v>
      </c>
      <c r="L61" s="5" t="s">
        <v>746</v>
      </c>
      <c r="M61" s="5" t="s">
        <v>366</v>
      </c>
    </row>
    <row r="62" spans="1:13" ht="57" customHeight="1" x14ac:dyDescent="0.2">
      <c r="A62" s="5" t="s">
        <v>747</v>
      </c>
      <c r="B62" s="5" t="s">
        <v>748</v>
      </c>
      <c r="C62" s="5" t="s">
        <v>749</v>
      </c>
      <c r="D62" s="5" t="s">
        <v>750</v>
      </c>
      <c r="E62" s="5" t="s">
        <v>359</v>
      </c>
      <c r="F62" s="5" t="s">
        <v>668</v>
      </c>
      <c r="G62" s="5" t="s">
        <v>751</v>
      </c>
      <c r="H62" s="5" t="s">
        <v>752</v>
      </c>
      <c r="I62" s="5" t="s">
        <v>362</v>
      </c>
      <c r="J62" s="5" t="s">
        <v>753</v>
      </c>
      <c r="K62" s="5" t="s">
        <v>364</v>
      </c>
      <c r="L62" s="5" t="s">
        <v>754</v>
      </c>
      <c r="M62" s="5" t="s">
        <v>366</v>
      </c>
    </row>
    <row r="63" spans="1:13" ht="57" customHeight="1" x14ac:dyDescent="0.2">
      <c r="A63" s="5" t="s">
        <v>755</v>
      </c>
      <c r="B63" s="5" t="s">
        <v>756</v>
      </c>
      <c r="C63" s="5" t="s">
        <v>757</v>
      </c>
      <c r="D63" s="5" t="s">
        <v>758</v>
      </c>
      <c r="E63" s="5" t="s">
        <v>359</v>
      </c>
      <c r="F63" s="5" t="s">
        <v>668</v>
      </c>
      <c r="G63" s="5" t="s">
        <v>759</v>
      </c>
      <c r="H63" s="5" t="s">
        <v>760</v>
      </c>
      <c r="I63" s="5" t="s">
        <v>362</v>
      </c>
      <c r="J63" s="5" t="s">
        <v>761</v>
      </c>
      <c r="K63" s="5" t="s">
        <v>364</v>
      </c>
      <c r="L63" s="5" t="s">
        <v>762</v>
      </c>
      <c r="M63" s="5" t="s">
        <v>366</v>
      </c>
    </row>
    <row r="64" spans="1:13" ht="87" customHeight="1" x14ac:dyDescent="0.2">
      <c r="A64" s="5" t="s">
        <v>763</v>
      </c>
      <c r="B64" s="5" t="s">
        <v>764</v>
      </c>
      <c r="C64" s="5" t="s">
        <v>765</v>
      </c>
      <c r="D64" s="5" t="s">
        <v>766</v>
      </c>
      <c r="E64" s="5" t="s">
        <v>347</v>
      </c>
      <c r="F64" s="5" t="s">
        <v>767</v>
      </c>
      <c r="G64" s="5"/>
      <c r="H64" s="5" t="s">
        <v>349</v>
      </c>
      <c r="I64" s="5" t="s">
        <v>350</v>
      </c>
      <c r="J64" s="5" t="s">
        <v>351</v>
      </c>
      <c r="K64" s="5" t="s">
        <v>352</v>
      </c>
      <c r="L64" s="5" t="s">
        <v>353</v>
      </c>
      <c r="M64" s="5" t="s">
        <v>768</v>
      </c>
    </row>
    <row r="65" spans="1:13" ht="57" customHeight="1" x14ac:dyDescent="0.2">
      <c r="A65" s="5" t="s">
        <v>769</v>
      </c>
      <c r="B65" s="5" t="s">
        <v>356</v>
      </c>
      <c r="C65" s="5" t="s">
        <v>770</v>
      </c>
      <c r="D65" s="5" t="s">
        <v>771</v>
      </c>
      <c r="E65" s="5" t="s">
        <v>359</v>
      </c>
      <c r="F65" s="5" t="s">
        <v>767</v>
      </c>
      <c r="G65" s="5" t="s">
        <v>772</v>
      </c>
      <c r="H65" s="5" t="s">
        <v>773</v>
      </c>
      <c r="I65" s="5" t="s">
        <v>362</v>
      </c>
      <c r="J65" s="5" t="s">
        <v>363</v>
      </c>
      <c r="K65" s="5" t="s">
        <v>364</v>
      </c>
      <c r="L65" s="5" t="s">
        <v>365</v>
      </c>
      <c r="M65" s="5" t="s">
        <v>366</v>
      </c>
    </row>
    <row r="66" spans="1:13" ht="57" customHeight="1" x14ac:dyDescent="0.2">
      <c r="A66" s="5" t="s">
        <v>774</v>
      </c>
      <c r="B66" s="5" t="s">
        <v>368</v>
      </c>
      <c r="C66" s="5" t="s">
        <v>775</v>
      </c>
      <c r="D66" s="5" t="s">
        <v>776</v>
      </c>
      <c r="E66" s="5" t="s">
        <v>359</v>
      </c>
      <c r="F66" s="5" t="s">
        <v>767</v>
      </c>
      <c r="G66" s="5" t="s">
        <v>777</v>
      </c>
      <c r="H66" s="5" t="s">
        <v>778</v>
      </c>
      <c r="I66" s="5" t="s">
        <v>362</v>
      </c>
      <c r="J66" s="5" t="s">
        <v>373</v>
      </c>
      <c r="K66" s="5" t="s">
        <v>364</v>
      </c>
      <c r="L66" s="5" t="s">
        <v>374</v>
      </c>
      <c r="M66" s="5" t="s">
        <v>366</v>
      </c>
    </row>
    <row r="67" spans="1:13" ht="57" customHeight="1" x14ac:dyDescent="0.2">
      <c r="A67" s="5" t="s">
        <v>779</v>
      </c>
      <c r="B67" s="5" t="s">
        <v>376</v>
      </c>
      <c r="C67" s="5" t="s">
        <v>780</v>
      </c>
      <c r="D67" s="5" t="s">
        <v>781</v>
      </c>
      <c r="E67" s="5" t="s">
        <v>359</v>
      </c>
      <c r="F67" s="5" t="s">
        <v>767</v>
      </c>
      <c r="G67" s="5" t="s">
        <v>782</v>
      </c>
      <c r="H67" s="5" t="s">
        <v>783</v>
      </c>
      <c r="I67" s="5" t="s">
        <v>362</v>
      </c>
      <c r="J67" s="5" t="s">
        <v>381</v>
      </c>
      <c r="K67" s="5" t="s">
        <v>382</v>
      </c>
      <c r="L67" s="5" t="s">
        <v>383</v>
      </c>
      <c r="M67" s="5" t="s">
        <v>366</v>
      </c>
    </row>
    <row r="68" spans="1:13" ht="57" customHeight="1" x14ac:dyDescent="0.2">
      <c r="A68" s="5" t="s">
        <v>784</v>
      </c>
      <c r="B68" s="5" t="s">
        <v>785</v>
      </c>
      <c r="C68" s="5" t="s">
        <v>786</v>
      </c>
      <c r="D68" s="5" t="s">
        <v>787</v>
      </c>
      <c r="E68" s="5" t="s">
        <v>359</v>
      </c>
      <c r="F68" s="5" t="s">
        <v>767</v>
      </c>
      <c r="G68" s="5" t="s">
        <v>788</v>
      </c>
      <c r="H68" s="5" t="s">
        <v>789</v>
      </c>
      <c r="I68" s="5" t="s">
        <v>362</v>
      </c>
      <c r="J68" s="5" t="s">
        <v>790</v>
      </c>
      <c r="K68" s="5" t="s">
        <v>364</v>
      </c>
      <c r="L68" s="5" t="s">
        <v>791</v>
      </c>
      <c r="M68" s="5" t="s">
        <v>366</v>
      </c>
    </row>
    <row r="69" spans="1:13" ht="72" customHeight="1" x14ac:dyDescent="0.2">
      <c r="A69" s="5" t="s">
        <v>792</v>
      </c>
      <c r="B69" s="5" t="s">
        <v>793</v>
      </c>
      <c r="C69" s="5" t="s">
        <v>794</v>
      </c>
      <c r="D69" s="5" t="s">
        <v>795</v>
      </c>
      <c r="E69" s="5" t="s">
        <v>359</v>
      </c>
      <c r="F69" s="5" t="s">
        <v>767</v>
      </c>
      <c r="G69" s="5" t="s">
        <v>796</v>
      </c>
      <c r="H69" s="5" t="s">
        <v>797</v>
      </c>
      <c r="I69" s="5" t="s">
        <v>362</v>
      </c>
      <c r="J69" s="5" t="s">
        <v>798</v>
      </c>
      <c r="K69" s="5" t="s">
        <v>514</v>
      </c>
      <c r="L69" s="5" t="s">
        <v>515</v>
      </c>
      <c r="M69" s="5" t="s">
        <v>366</v>
      </c>
    </row>
    <row r="70" spans="1:13" ht="57" customHeight="1" x14ac:dyDescent="0.2">
      <c r="A70" s="5" t="s">
        <v>799</v>
      </c>
      <c r="B70" s="5" t="s">
        <v>595</v>
      </c>
      <c r="C70" s="5" t="s">
        <v>800</v>
      </c>
      <c r="D70" s="5" t="s">
        <v>801</v>
      </c>
      <c r="E70" s="5" t="s">
        <v>359</v>
      </c>
      <c r="F70" s="5" t="s">
        <v>767</v>
      </c>
      <c r="G70" s="5" t="s">
        <v>802</v>
      </c>
      <c r="H70" s="5" t="s">
        <v>803</v>
      </c>
      <c r="I70" s="5" t="s">
        <v>362</v>
      </c>
      <c r="J70" s="5" t="s">
        <v>600</v>
      </c>
      <c r="K70" s="5" t="s">
        <v>392</v>
      </c>
      <c r="L70" s="5" t="s">
        <v>393</v>
      </c>
      <c r="M70" s="5" t="s">
        <v>601</v>
      </c>
    </row>
    <row r="71" spans="1:13" ht="57" customHeight="1" x14ac:dyDescent="0.2">
      <c r="A71" s="5" t="s">
        <v>804</v>
      </c>
      <c r="B71" s="5" t="s">
        <v>698</v>
      </c>
      <c r="C71" s="5" t="s">
        <v>805</v>
      </c>
      <c r="D71" s="5" t="s">
        <v>806</v>
      </c>
      <c r="E71" s="5" t="s">
        <v>359</v>
      </c>
      <c r="F71" s="5" t="s">
        <v>767</v>
      </c>
      <c r="G71" s="5" t="s">
        <v>807</v>
      </c>
      <c r="H71" s="5" t="s">
        <v>808</v>
      </c>
      <c r="I71" s="5" t="s">
        <v>362</v>
      </c>
      <c r="J71" s="5" t="s">
        <v>704</v>
      </c>
      <c r="K71" s="5" t="s">
        <v>392</v>
      </c>
      <c r="L71" s="5" t="s">
        <v>393</v>
      </c>
      <c r="M71" s="5" t="s">
        <v>705</v>
      </c>
    </row>
    <row r="72" spans="1:13" ht="72" customHeight="1" x14ac:dyDescent="0.2">
      <c r="A72" s="5" t="s">
        <v>809</v>
      </c>
      <c r="B72" s="5" t="s">
        <v>810</v>
      </c>
      <c r="C72" s="5" t="s">
        <v>811</v>
      </c>
      <c r="D72" s="5" t="s">
        <v>812</v>
      </c>
      <c r="E72" s="5" t="s">
        <v>359</v>
      </c>
      <c r="F72" s="5" t="s">
        <v>767</v>
      </c>
      <c r="G72" s="5" t="s">
        <v>813</v>
      </c>
      <c r="H72" s="5" t="s">
        <v>814</v>
      </c>
      <c r="I72" s="5" t="s">
        <v>362</v>
      </c>
      <c r="J72" s="5" t="s">
        <v>815</v>
      </c>
      <c r="K72" s="5" t="s">
        <v>364</v>
      </c>
      <c r="L72" s="5" t="s">
        <v>816</v>
      </c>
      <c r="M72" s="5" t="s">
        <v>366</v>
      </c>
    </row>
    <row r="73" spans="1:13" ht="57" customHeight="1" x14ac:dyDescent="0.2">
      <c r="A73" s="5" t="s">
        <v>817</v>
      </c>
      <c r="B73" s="5" t="s">
        <v>818</v>
      </c>
      <c r="C73" s="5" t="s">
        <v>819</v>
      </c>
      <c r="D73" s="5" t="s">
        <v>820</v>
      </c>
      <c r="E73" s="5" t="s">
        <v>359</v>
      </c>
      <c r="F73" s="5" t="s">
        <v>767</v>
      </c>
      <c r="G73" s="5" t="s">
        <v>821</v>
      </c>
      <c r="H73" s="5" t="s">
        <v>822</v>
      </c>
      <c r="I73" s="5" t="s">
        <v>390</v>
      </c>
      <c r="J73" s="5" t="s">
        <v>823</v>
      </c>
      <c r="K73" s="5" t="s">
        <v>392</v>
      </c>
      <c r="L73" s="5" t="s">
        <v>393</v>
      </c>
      <c r="M73" s="5" t="s">
        <v>506</v>
      </c>
    </row>
    <row r="74" spans="1:13" ht="57" customHeight="1" x14ac:dyDescent="0.2">
      <c r="A74" s="5" t="s">
        <v>824</v>
      </c>
      <c r="B74" s="5" t="s">
        <v>412</v>
      </c>
      <c r="C74" s="5" t="s">
        <v>825</v>
      </c>
      <c r="D74" s="5" t="s">
        <v>826</v>
      </c>
      <c r="E74" s="5" t="s">
        <v>359</v>
      </c>
      <c r="F74" s="5" t="s">
        <v>767</v>
      </c>
      <c r="G74" s="5" t="s">
        <v>827</v>
      </c>
      <c r="H74" s="5" t="s">
        <v>828</v>
      </c>
      <c r="I74" s="5" t="s">
        <v>390</v>
      </c>
      <c r="J74" s="5" t="s">
        <v>417</v>
      </c>
      <c r="K74" s="5" t="s">
        <v>392</v>
      </c>
      <c r="L74" s="5" t="s">
        <v>393</v>
      </c>
      <c r="M74" s="5" t="s">
        <v>418</v>
      </c>
    </row>
    <row r="75" spans="1:13" ht="72" customHeight="1" x14ac:dyDescent="0.2">
      <c r="A75" s="5" t="s">
        <v>829</v>
      </c>
      <c r="B75" s="5" t="s">
        <v>830</v>
      </c>
      <c r="C75" s="5" t="s">
        <v>831</v>
      </c>
      <c r="D75" s="5" t="s">
        <v>832</v>
      </c>
      <c r="E75" s="5" t="s">
        <v>359</v>
      </c>
      <c r="F75" s="5" t="s">
        <v>767</v>
      </c>
      <c r="G75" s="5" t="s">
        <v>833</v>
      </c>
      <c r="H75" s="5" t="s">
        <v>834</v>
      </c>
      <c r="I75" s="5" t="s">
        <v>362</v>
      </c>
      <c r="J75" s="5" t="s">
        <v>835</v>
      </c>
      <c r="K75" s="5" t="s">
        <v>364</v>
      </c>
      <c r="L75" s="5" t="s">
        <v>836</v>
      </c>
      <c r="M75" s="5" t="s">
        <v>366</v>
      </c>
    </row>
    <row r="76" spans="1:13" ht="57" customHeight="1" x14ac:dyDescent="0.2">
      <c r="A76" s="5" t="s">
        <v>837</v>
      </c>
      <c r="B76" s="5" t="s">
        <v>838</v>
      </c>
      <c r="C76" s="5" t="s">
        <v>839</v>
      </c>
      <c r="D76" s="5" t="s">
        <v>840</v>
      </c>
      <c r="E76" s="5" t="s">
        <v>359</v>
      </c>
      <c r="F76" s="5" t="s">
        <v>767</v>
      </c>
      <c r="G76" s="5" t="s">
        <v>841</v>
      </c>
      <c r="H76" s="5" t="s">
        <v>842</v>
      </c>
      <c r="I76" s="5" t="s">
        <v>362</v>
      </c>
      <c r="J76" s="5" t="s">
        <v>843</v>
      </c>
      <c r="K76" s="5" t="s">
        <v>402</v>
      </c>
      <c r="L76" s="5" t="s">
        <v>276</v>
      </c>
      <c r="M76" s="5" t="s">
        <v>366</v>
      </c>
    </row>
    <row r="77" spans="1:13" ht="57" customHeight="1" x14ac:dyDescent="0.2">
      <c r="A77" s="5" t="s">
        <v>844</v>
      </c>
      <c r="B77" s="5" t="s">
        <v>845</v>
      </c>
      <c r="C77" s="5" t="s">
        <v>846</v>
      </c>
      <c r="D77" s="5" t="s">
        <v>847</v>
      </c>
      <c r="E77" s="5" t="s">
        <v>359</v>
      </c>
      <c r="F77" s="5" t="s">
        <v>767</v>
      </c>
      <c r="G77" s="5" t="s">
        <v>848</v>
      </c>
      <c r="H77" s="5" t="s">
        <v>849</v>
      </c>
      <c r="I77" s="5" t="s">
        <v>362</v>
      </c>
      <c r="J77" s="5" t="s">
        <v>850</v>
      </c>
      <c r="K77" s="5" t="s">
        <v>402</v>
      </c>
      <c r="L77" s="5" t="s">
        <v>851</v>
      </c>
      <c r="M77" s="5" t="s">
        <v>366</v>
      </c>
    </row>
    <row r="78" spans="1:13" ht="87" customHeight="1" x14ac:dyDescent="0.2">
      <c r="A78" s="5" t="s">
        <v>852</v>
      </c>
      <c r="B78" s="5" t="s">
        <v>853</v>
      </c>
      <c r="C78" s="5" t="s">
        <v>854</v>
      </c>
      <c r="D78" s="5" t="s">
        <v>855</v>
      </c>
      <c r="E78" s="5" t="s">
        <v>347</v>
      </c>
      <c r="F78" s="5" t="s">
        <v>856</v>
      </c>
      <c r="G78" s="5"/>
      <c r="H78" s="5" t="s">
        <v>349</v>
      </c>
      <c r="I78" s="5" t="s">
        <v>350</v>
      </c>
      <c r="J78" s="5" t="s">
        <v>351</v>
      </c>
      <c r="K78" s="5" t="s">
        <v>352</v>
      </c>
      <c r="L78" s="5" t="s">
        <v>353</v>
      </c>
      <c r="M78" s="5" t="s">
        <v>857</v>
      </c>
    </row>
    <row r="79" spans="1:13" ht="57" customHeight="1" x14ac:dyDescent="0.2">
      <c r="A79" s="5" t="s">
        <v>858</v>
      </c>
      <c r="B79" s="5" t="s">
        <v>356</v>
      </c>
      <c r="C79" s="5" t="s">
        <v>859</v>
      </c>
      <c r="D79" s="5" t="s">
        <v>860</v>
      </c>
      <c r="E79" s="5" t="s">
        <v>359</v>
      </c>
      <c r="F79" s="5" t="s">
        <v>856</v>
      </c>
      <c r="G79" s="5" t="s">
        <v>861</v>
      </c>
      <c r="H79" s="5" t="s">
        <v>862</v>
      </c>
      <c r="I79" s="5" t="s">
        <v>362</v>
      </c>
      <c r="J79" s="5" t="s">
        <v>363</v>
      </c>
      <c r="K79" s="5" t="s">
        <v>364</v>
      </c>
      <c r="L79" s="5" t="s">
        <v>365</v>
      </c>
      <c r="M79" s="5" t="s">
        <v>366</v>
      </c>
    </row>
    <row r="80" spans="1:13" ht="57" customHeight="1" x14ac:dyDescent="0.2">
      <c r="A80" s="5" t="s">
        <v>863</v>
      </c>
      <c r="B80" s="5" t="s">
        <v>368</v>
      </c>
      <c r="C80" s="5" t="s">
        <v>864</v>
      </c>
      <c r="D80" s="5" t="s">
        <v>865</v>
      </c>
      <c r="E80" s="5" t="s">
        <v>359</v>
      </c>
      <c r="F80" s="5" t="s">
        <v>856</v>
      </c>
      <c r="G80" s="5" t="s">
        <v>866</v>
      </c>
      <c r="H80" s="5" t="s">
        <v>867</v>
      </c>
      <c r="I80" s="5" t="s">
        <v>362</v>
      </c>
      <c r="J80" s="5" t="s">
        <v>373</v>
      </c>
      <c r="K80" s="5" t="s">
        <v>364</v>
      </c>
      <c r="L80" s="5" t="s">
        <v>374</v>
      </c>
      <c r="M80" s="5" t="s">
        <v>366</v>
      </c>
    </row>
    <row r="81" spans="1:13" ht="57" customHeight="1" x14ac:dyDescent="0.2">
      <c r="A81" s="5" t="s">
        <v>868</v>
      </c>
      <c r="B81" s="5" t="s">
        <v>376</v>
      </c>
      <c r="C81" s="5" t="s">
        <v>869</v>
      </c>
      <c r="D81" s="5" t="s">
        <v>870</v>
      </c>
      <c r="E81" s="5" t="s">
        <v>359</v>
      </c>
      <c r="F81" s="5" t="s">
        <v>856</v>
      </c>
      <c r="G81" s="5" t="s">
        <v>871</v>
      </c>
      <c r="H81" s="5" t="s">
        <v>872</v>
      </c>
      <c r="I81" s="5" t="s">
        <v>362</v>
      </c>
      <c r="J81" s="5" t="s">
        <v>381</v>
      </c>
      <c r="K81" s="5" t="s">
        <v>382</v>
      </c>
      <c r="L81" s="5" t="s">
        <v>383</v>
      </c>
      <c r="M81" s="5" t="s">
        <v>366</v>
      </c>
    </row>
    <row r="82" spans="1:13" ht="72" customHeight="1" x14ac:dyDescent="0.2">
      <c r="A82" s="5" t="s">
        <v>873</v>
      </c>
      <c r="B82" s="5" t="s">
        <v>500</v>
      </c>
      <c r="C82" s="5" t="s">
        <v>874</v>
      </c>
      <c r="D82" s="5" t="s">
        <v>875</v>
      </c>
      <c r="E82" s="5" t="s">
        <v>359</v>
      </c>
      <c r="F82" s="5" t="s">
        <v>856</v>
      </c>
      <c r="G82" s="5" t="s">
        <v>876</v>
      </c>
      <c r="H82" s="5" t="s">
        <v>877</v>
      </c>
      <c r="I82" s="5" t="s">
        <v>362</v>
      </c>
      <c r="J82" s="5" t="s">
        <v>505</v>
      </c>
      <c r="K82" s="5" t="s">
        <v>392</v>
      </c>
      <c r="L82" s="5" t="s">
        <v>393</v>
      </c>
      <c r="M82" s="5" t="s">
        <v>506</v>
      </c>
    </row>
    <row r="83" spans="1:13" ht="57" customHeight="1" x14ac:dyDescent="0.2">
      <c r="A83" s="5" t="s">
        <v>878</v>
      </c>
      <c r="B83" s="5" t="s">
        <v>879</v>
      </c>
      <c r="C83" s="5" t="s">
        <v>880</v>
      </c>
      <c r="D83" s="5" t="s">
        <v>881</v>
      </c>
      <c r="E83" s="5" t="s">
        <v>359</v>
      </c>
      <c r="F83" s="5" t="s">
        <v>856</v>
      </c>
      <c r="G83" s="5" t="s">
        <v>882</v>
      </c>
      <c r="H83" s="5" t="s">
        <v>883</v>
      </c>
      <c r="I83" s="5" t="s">
        <v>362</v>
      </c>
      <c r="J83" s="5" t="s">
        <v>884</v>
      </c>
      <c r="K83" s="5" t="s">
        <v>402</v>
      </c>
      <c r="L83" s="5" t="s">
        <v>885</v>
      </c>
      <c r="M83" s="5" t="s">
        <v>366</v>
      </c>
    </row>
    <row r="84" spans="1:13" ht="57" customHeight="1" x14ac:dyDescent="0.2">
      <c r="A84" s="5" t="s">
        <v>886</v>
      </c>
      <c r="B84" s="5" t="s">
        <v>420</v>
      </c>
      <c r="C84" s="5" t="s">
        <v>887</v>
      </c>
      <c r="D84" s="5" t="s">
        <v>888</v>
      </c>
      <c r="E84" s="5" t="s">
        <v>359</v>
      </c>
      <c r="F84" s="5" t="s">
        <v>856</v>
      </c>
      <c r="G84" s="5" t="s">
        <v>889</v>
      </c>
      <c r="H84" s="5" t="s">
        <v>890</v>
      </c>
      <c r="I84" s="5" t="s">
        <v>390</v>
      </c>
      <c r="J84" s="5" t="s">
        <v>425</v>
      </c>
      <c r="K84" s="5" t="s">
        <v>392</v>
      </c>
      <c r="L84" s="5" t="s">
        <v>393</v>
      </c>
      <c r="M84" s="5" t="s">
        <v>426</v>
      </c>
    </row>
    <row r="85" spans="1:13" ht="57" customHeight="1" x14ac:dyDescent="0.2">
      <c r="A85" s="5" t="s">
        <v>891</v>
      </c>
      <c r="B85" s="5" t="s">
        <v>892</v>
      </c>
      <c r="C85" s="5" t="s">
        <v>893</v>
      </c>
      <c r="D85" s="5" t="s">
        <v>894</v>
      </c>
      <c r="E85" s="5" t="s">
        <v>359</v>
      </c>
      <c r="F85" s="5" t="s">
        <v>856</v>
      </c>
      <c r="G85" s="5" t="s">
        <v>895</v>
      </c>
      <c r="H85" s="5" t="s">
        <v>896</v>
      </c>
      <c r="I85" s="5" t="s">
        <v>390</v>
      </c>
      <c r="J85" s="5" t="s">
        <v>897</v>
      </c>
      <c r="K85" s="5" t="s">
        <v>364</v>
      </c>
      <c r="L85" s="5" t="s">
        <v>898</v>
      </c>
      <c r="M85" s="5" t="s">
        <v>366</v>
      </c>
    </row>
    <row r="86" spans="1:13" ht="57" customHeight="1" x14ac:dyDescent="0.2">
      <c r="A86" s="5" t="s">
        <v>899</v>
      </c>
      <c r="B86" s="5" t="s">
        <v>900</v>
      </c>
      <c r="C86" s="5" t="s">
        <v>901</v>
      </c>
      <c r="D86" s="5" t="s">
        <v>902</v>
      </c>
      <c r="E86" s="5" t="s">
        <v>359</v>
      </c>
      <c r="F86" s="5" t="s">
        <v>856</v>
      </c>
      <c r="G86" s="5" t="s">
        <v>903</v>
      </c>
      <c r="H86" s="5" t="s">
        <v>904</v>
      </c>
      <c r="I86" s="5" t="s">
        <v>362</v>
      </c>
      <c r="J86" s="5" t="s">
        <v>905</v>
      </c>
      <c r="K86" s="5" t="s">
        <v>364</v>
      </c>
      <c r="L86" s="5" t="s">
        <v>906</v>
      </c>
      <c r="M86" s="5" t="s">
        <v>366</v>
      </c>
    </row>
    <row r="87" spans="1:13" ht="57" customHeight="1" x14ac:dyDescent="0.2">
      <c r="A87" s="5" t="s">
        <v>907</v>
      </c>
      <c r="B87" s="5" t="s">
        <v>908</v>
      </c>
      <c r="C87" s="5" t="s">
        <v>909</v>
      </c>
      <c r="D87" s="5" t="s">
        <v>910</v>
      </c>
      <c r="E87" s="5" t="s">
        <v>359</v>
      </c>
      <c r="F87" s="5" t="s">
        <v>856</v>
      </c>
      <c r="G87" s="5" t="s">
        <v>911</v>
      </c>
      <c r="H87" s="5" t="s">
        <v>912</v>
      </c>
      <c r="I87" s="5" t="s">
        <v>362</v>
      </c>
      <c r="J87" s="5" t="s">
        <v>913</v>
      </c>
      <c r="K87" s="5" t="s">
        <v>364</v>
      </c>
      <c r="L87" s="5" t="s">
        <v>914</v>
      </c>
      <c r="M87" s="5" t="s">
        <v>366</v>
      </c>
    </row>
    <row r="88" spans="1:13" ht="57" customHeight="1" x14ac:dyDescent="0.2">
      <c r="A88" s="5" t="s">
        <v>915</v>
      </c>
      <c r="B88" s="5" t="s">
        <v>916</v>
      </c>
      <c r="C88" s="5" t="s">
        <v>917</v>
      </c>
      <c r="D88" s="5" t="s">
        <v>918</v>
      </c>
      <c r="E88" s="5" t="s">
        <v>359</v>
      </c>
      <c r="F88" s="5" t="s">
        <v>856</v>
      </c>
      <c r="G88" s="5" t="s">
        <v>919</v>
      </c>
      <c r="H88" s="5" t="s">
        <v>920</v>
      </c>
      <c r="I88" s="5" t="s">
        <v>362</v>
      </c>
      <c r="J88" s="5" t="s">
        <v>921</v>
      </c>
      <c r="K88" s="5" t="s">
        <v>402</v>
      </c>
      <c r="L88" s="5" t="s">
        <v>922</v>
      </c>
      <c r="M88" s="5" t="s">
        <v>366</v>
      </c>
    </row>
    <row r="89" spans="1:13" ht="57" customHeight="1" x14ac:dyDescent="0.2">
      <c r="A89" s="5" t="s">
        <v>923</v>
      </c>
      <c r="B89" s="5" t="s">
        <v>924</v>
      </c>
      <c r="C89" s="5" t="s">
        <v>925</v>
      </c>
      <c r="D89" s="5" t="s">
        <v>926</v>
      </c>
      <c r="E89" s="5" t="s">
        <v>359</v>
      </c>
      <c r="F89" s="5" t="s">
        <v>856</v>
      </c>
      <c r="G89" s="5" t="s">
        <v>927</v>
      </c>
      <c r="H89" s="5" t="s">
        <v>928</v>
      </c>
      <c r="I89" s="5" t="s">
        <v>362</v>
      </c>
      <c r="J89" s="5" t="s">
        <v>929</v>
      </c>
      <c r="K89" s="5" t="s">
        <v>364</v>
      </c>
      <c r="L89" s="5" t="s">
        <v>930</v>
      </c>
      <c r="M89" s="5" t="s">
        <v>366</v>
      </c>
    </row>
    <row r="90" spans="1:13" ht="87" customHeight="1" x14ac:dyDescent="0.2">
      <c r="A90" s="5" t="s">
        <v>931</v>
      </c>
      <c r="B90" s="5" t="s">
        <v>932</v>
      </c>
      <c r="C90" s="5" t="s">
        <v>933</v>
      </c>
      <c r="D90" s="5" t="s">
        <v>934</v>
      </c>
      <c r="E90" s="5" t="s">
        <v>347</v>
      </c>
      <c r="F90" s="5" t="s">
        <v>935</v>
      </c>
      <c r="G90" s="5"/>
      <c r="H90" s="5" t="s">
        <v>349</v>
      </c>
      <c r="I90" s="5" t="s">
        <v>350</v>
      </c>
      <c r="J90" s="5" t="s">
        <v>351</v>
      </c>
      <c r="K90" s="5" t="s">
        <v>352</v>
      </c>
      <c r="L90" s="5" t="s">
        <v>353</v>
      </c>
      <c r="M90" s="5" t="s">
        <v>936</v>
      </c>
    </row>
    <row r="91" spans="1:13" ht="57" customHeight="1" x14ac:dyDescent="0.2">
      <c r="A91" s="5" t="s">
        <v>937</v>
      </c>
      <c r="B91" s="5" t="s">
        <v>356</v>
      </c>
      <c r="C91" s="5" t="s">
        <v>938</v>
      </c>
      <c r="D91" s="5" t="s">
        <v>939</v>
      </c>
      <c r="E91" s="5" t="s">
        <v>359</v>
      </c>
      <c r="F91" s="5" t="s">
        <v>935</v>
      </c>
      <c r="G91" s="5" t="s">
        <v>940</v>
      </c>
      <c r="H91" s="5" t="s">
        <v>941</v>
      </c>
      <c r="I91" s="5" t="s">
        <v>362</v>
      </c>
      <c r="J91" s="5" t="s">
        <v>363</v>
      </c>
      <c r="K91" s="5" t="s">
        <v>364</v>
      </c>
      <c r="L91" s="5" t="s">
        <v>365</v>
      </c>
      <c r="M91" s="5" t="s">
        <v>366</v>
      </c>
    </row>
    <row r="92" spans="1:13" ht="57" customHeight="1" x14ac:dyDescent="0.2">
      <c r="A92" s="5" t="s">
        <v>942</v>
      </c>
      <c r="B92" s="5" t="s">
        <v>368</v>
      </c>
      <c r="C92" s="5" t="s">
        <v>943</v>
      </c>
      <c r="D92" s="5" t="s">
        <v>944</v>
      </c>
      <c r="E92" s="5" t="s">
        <v>359</v>
      </c>
      <c r="F92" s="5" t="s">
        <v>935</v>
      </c>
      <c r="G92" s="5" t="s">
        <v>945</v>
      </c>
      <c r="H92" s="5" t="s">
        <v>946</v>
      </c>
      <c r="I92" s="5" t="s">
        <v>362</v>
      </c>
      <c r="J92" s="5" t="s">
        <v>373</v>
      </c>
      <c r="K92" s="5" t="s">
        <v>364</v>
      </c>
      <c r="L92" s="5" t="s">
        <v>374</v>
      </c>
      <c r="M92" s="5" t="s">
        <v>366</v>
      </c>
    </row>
    <row r="93" spans="1:13" ht="57" customHeight="1" x14ac:dyDescent="0.2">
      <c r="A93" s="5" t="s">
        <v>947</v>
      </c>
      <c r="B93" s="5" t="s">
        <v>376</v>
      </c>
      <c r="C93" s="5" t="s">
        <v>948</v>
      </c>
      <c r="D93" s="5" t="s">
        <v>949</v>
      </c>
      <c r="E93" s="5" t="s">
        <v>359</v>
      </c>
      <c r="F93" s="5" t="s">
        <v>935</v>
      </c>
      <c r="G93" s="5" t="s">
        <v>950</v>
      </c>
      <c r="H93" s="5" t="s">
        <v>951</v>
      </c>
      <c r="I93" s="5" t="s">
        <v>362</v>
      </c>
      <c r="J93" s="5" t="s">
        <v>381</v>
      </c>
      <c r="K93" s="5" t="s">
        <v>382</v>
      </c>
      <c r="L93" s="5" t="s">
        <v>383</v>
      </c>
      <c r="M93" s="5" t="s">
        <v>366</v>
      </c>
    </row>
    <row r="94" spans="1:13" ht="72" customHeight="1" x14ac:dyDescent="0.2">
      <c r="A94" s="5" t="s">
        <v>952</v>
      </c>
      <c r="B94" s="5" t="s">
        <v>500</v>
      </c>
      <c r="C94" s="5" t="s">
        <v>953</v>
      </c>
      <c r="D94" s="5" t="s">
        <v>954</v>
      </c>
      <c r="E94" s="5" t="s">
        <v>359</v>
      </c>
      <c r="F94" s="5" t="s">
        <v>935</v>
      </c>
      <c r="G94" s="5" t="s">
        <v>955</v>
      </c>
      <c r="H94" s="5" t="s">
        <v>956</v>
      </c>
      <c r="I94" s="5" t="s">
        <v>362</v>
      </c>
      <c r="J94" s="5" t="s">
        <v>505</v>
      </c>
      <c r="K94" s="5" t="s">
        <v>392</v>
      </c>
      <c r="L94" s="5" t="s">
        <v>393</v>
      </c>
      <c r="M94" s="5" t="s">
        <v>506</v>
      </c>
    </row>
    <row r="95" spans="1:13" ht="57" customHeight="1" x14ac:dyDescent="0.2">
      <c r="A95" s="5" t="s">
        <v>957</v>
      </c>
      <c r="B95" s="5" t="s">
        <v>958</v>
      </c>
      <c r="C95" s="5" t="s">
        <v>959</v>
      </c>
      <c r="D95" s="5" t="s">
        <v>960</v>
      </c>
      <c r="E95" s="5" t="s">
        <v>359</v>
      </c>
      <c r="F95" s="5" t="s">
        <v>935</v>
      </c>
      <c r="G95" s="5" t="s">
        <v>961</v>
      </c>
      <c r="H95" s="5" t="s">
        <v>962</v>
      </c>
      <c r="I95" s="5" t="s">
        <v>362</v>
      </c>
      <c r="J95" s="5" t="s">
        <v>963</v>
      </c>
      <c r="K95" s="5" t="s">
        <v>402</v>
      </c>
      <c r="L95" s="5" t="s">
        <v>964</v>
      </c>
      <c r="M95" s="5" t="s">
        <v>366</v>
      </c>
    </row>
    <row r="96" spans="1:13" ht="57" customHeight="1" x14ac:dyDescent="0.2">
      <c r="A96" s="5" t="s">
        <v>965</v>
      </c>
      <c r="B96" s="5" t="s">
        <v>966</v>
      </c>
      <c r="C96" s="5" t="s">
        <v>967</v>
      </c>
      <c r="D96" s="5" t="s">
        <v>968</v>
      </c>
      <c r="E96" s="5" t="s">
        <v>359</v>
      </c>
      <c r="F96" s="5" t="s">
        <v>935</v>
      </c>
      <c r="G96" s="5" t="s">
        <v>969</v>
      </c>
      <c r="H96" s="5" t="s">
        <v>970</v>
      </c>
      <c r="I96" s="5" t="s">
        <v>390</v>
      </c>
      <c r="J96" s="5" t="s">
        <v>971</v>
      </c>
      <c r="K96" s="5" t="s">
        <v>392</v>
      </c>
      <c r="L96" s="5" t="s">
        <v>393</v>
      </c>
      <c r="M96" s="5" t="s">
        <v>972</v>
      </c>
    </row>
    <row r="97" spans="1:13" ht="72" customHeight="1" x14ac:dyDescent="0.2">
      <c r="A97" s="5" t="s">
        <v>973</v>
      </c>
      <c r="B97" s="5" t="s">
        <v>974</v>
      </c>
      <c r="C97" s="5" t="s">
        <v>975</v>
      </c>
      <c r="D97" s="5" t="s">
        <v>976</v>
      </c>
      <c r="E97" s="5" t="s">
        <v>359</v>
      </c>
      <c r="F97" s="5" t="s">
        <v>935</v>
      </c>
      <c r="G97" s="5" t="s">
        <v>977</v>
      </c>
      <c r="H97" s="5" t="s">
        <v>978</v>
      </c>
      <c r="I97" s="5" t="s">
        <v>362</v>
      </c>
      <c r="J97" s="5" t="s">
        <v>979</v>
      </c>
      <c r="K97" s="5" t="s">
        <v>514</v>
      </c>
      <c r="L97" s="5" t="s">
        <v>515</v>
      </c>
      <c r="M97" s="5" t="s">
        <v>366</v>
      </c>
    </row>
    <row r="98" spans="1:13" ht="57" customHeight="1" x14ac:dyDescent="0.2">
      <c r="A98" s="5" t="s">
        <v>980</v>
      </c>
      <c r="B98" s="5" t="s">
        <v>981</v>
      </c>
      <c r="C98" s="5" t="s">
        <v>982</v>
      </c>
      <c r="D98" s="5" t="s">
        <v>983</v>
      </c>
      <c r="E98" s="5" t="s">
        <v>359</v>
      </c>
      <c r="F98" s="5" t="s">
        <v>935</v>
      </c>
      <c r="G98" s="5" t="s">
        <v>984</v>
      </c>
      <c r="H98" s="5" t="s">
        <v>985</v>
      </c>
      <c r="I98" s="5" t="s">
        <v>362</v>
      </c>
      <c r="J98" s="5" t="s">
        <v>986</v>
      </c>
      <c r="K98" s="5" t="s">
        <v>364</v>
      </c>
      <c r="L98" s="5" t="s">
        <v>987</v>
      </c>
      <c r="M98" s="5" t="s">
        <v>366</v>
      </c>
    </row>
    <row r="99" spans="1:13" ht="72" customHeight="1" x14ac:dyDescent="0.2">
      <c r="A99" s="5" t="s">
        <v>988</v>
      </c>
      <c r="B99" s="5" t="s">
        <v>989</v>
      </c>
      <c r="C99" s="5" t="s">
        <v>990</v>
      </c>
      <c r="D99" s="5" t="s">
        <v>991</v>
      </c>
      <c r="E99" s="5" t="s">
        <v>359</v>
      </c>
      <c r="F99" s="5" t="s">
        <v>935</v>
      </c>
      <c r="G99" s="5" t="s">
        <v>992</v>
      </c>
      <c r="H99" s="5" t="s">
        <v>993</v>
      </c>
      <c r="I99" s="5" t="s">
        <v>362</v>
      </c>
      <c r="J99" s="5" t="s">
        <v>994</v>
      </c>
      <c r="K99" s="5" t="s">
        <v>364</v>
      </c>
      <c r="L99" s="5" t="s">
        <v>995</v>
      </c>
      <c r="M99" s="5" t="s">
        <v>366</v>
      </c>
    </row>
    <row r="100" spans="1:13" ht="57" customHeight="1" x14ac:dyDescent="0.2">
      <c r="A100" s="5" t="s">
        <v>996</v>
      </c>
      <c r="B100" s="5" t="s">
        <v>997</v>
      </c>
      <c r="C100" s="5" t="s">
        <v>998</v>
      </c>
      <c r="D100" s="5" t="s">
        <v>999</v>
      </c>
      <c r="E100" s="5" t="s">
        <v>359</v>
      </c>
      <c r="F100" s="5" t="s">
        <v>935</v>
      </c>
      <c r="G100" s="5" t="s">
        <v>1000</v>
      </c>
      <c r="H100" s="5" t="s">
        <v>1001</v>
      </c>
      <c r="I100" s="5" t="s">
        <v>362</v>
      </c>
      <c r="J100" s="5" t="s">
        <v>1002</v>
      </c>
      <c r="K100" s="5" t="s">
        <v>402</v>
      </c>
      <c r="L100" s="5" t="s">
        <v>1003</v>
      </c>
      <c r="M100" s="5" t="s">
        <v>366</v>
      </c>
    </row>
    <row r="101" spans="1:13" ht="72" customHeight="1" x14ac:dyDescent="0.2">
      <c r="A101" s="5" t="s">
        <v>1004</v>
      </c>
      <c r="B101" s="5" t="s">
        <v>1005</v>
      </c>
      <c r="C101" s="5" t="s">
        <v>1006</v>
      </c>
      <c r="D101" s="5" t="s">
        <v>1007</v>
      </c>
      <c r="E101" s="5" t="s">
        <v>359</v>
      </c>
      <c r="F101" s="5" t="s">
        <v>935</v>
      </c>
      <c r="G101" s="5" t="s">
        <v>1008</v>
      </c>
      <c r="H101" s="5" t="s">
        <v>1009</v>
      </c>
      <c r="I101" s="5" t="s">
        <v>362</v>
      </c>
      <c r="J101" s="5" t="s">
        <v>1010</v>
      </c>
      <c r="K101" s="5" t="s">
        <v>364</v>
      </c>
      <c r="L101" s="5" t="s">
        <v>1011</v>
      </c>
      <c r="M101" s="5" t="s">
        <v>366</v>
      </c>
    </row>
    <row r="102" spans="1:13" ht="87" customHeight="1" x14ac:dyDescent="0.2">
      <c r="A102" s="5" t="s">
        <v>1012</v>
      </c>
      <c r="B102" s="5" t="s">
        <v>1013</v>
      </c>
      <c r="C102" s="5" t="s">
        <v>1014</v>
      </c>
      <c r="D102" s="5" t="s">
        <v>1015</v>
      </c>
      <c r="E102" s="5" t="s">
        <v>347</v>
      </c>
      <c r="F102" s="5" t="s">
        <v>1016</v>
      </c>
      <c r="G102" s="5"/>
      <c r="H102" s="5" t="s">
        <v>349</v>
      </c>
      <c r="I102" s="5" t="s">
        <v>350</v>
      </c>
      <c r="J102" s="5" t="s">
        <v>351</v>
      </c>
      <c r="K102" s="5" t="s">
        <v>352</v>
      </c>
      <c r="L102" s="5" t="s">
        <v>353</v>
      </c>
      <c r="M102" s="5" t="s">
        <v>1017</v>
      </c>
    </row>
    <row r="103" spans="1:13" ht="57" customHeight="1" x14ac:dyDescent="0.2">
      <c r="A103" s="5" t="s">
        <v>1018</v>
      </c>
      <c r="B103" s="5" t="s">
        <v>356</v>
      </c>
      <c r="C103" s="5" t="s">
        <v>1019</v>
      </c>
      <c r="D103" s="5" t="s">
        <v>1020</v>
      </c>
      <c r="E103" s="5" t="s">
        <v>359</v>
      </c>
      <c r="F103" s="5" t="s">
        <v>1016</v>
      </c>
      <c r="G103" s="5" t="s">
        <v>1021</v>
      </c>
      <c r="H103" s="5" t="s">
        <v>1022</v>
      </c>
      <c r="I103" s="5" t="s">
        <v>362</v>
      </c>
      <c r="J103" s="5" t="s">
        <v>363</v>
      </c>
      <c r="K103" s="5" t="s">
        <v>364</v>
      </c>
      <c r="L103" s="5" t="s">
        <v>365</v>
      </c>
      <c r="M103" s="5" t="s">
        <v>366</v>
      </c>
    </row>
    <row r="104" spans="1:13" ht="57" customHeight="1" x14ac:dyDescent="0.2">
      <c r="A104" s="5" t="s">
        <v>1023</v>
      </c>
      <c r="B104" s="5" t="s">
        <v>368</v>
      </c>
      <c r="C104" s="5" t="s">
        <v>1024</v>
      </c>
      <c r="D104" s="5" t="s">
        <v>1025</v>
      </c>
      <c r="E104" s="5" t="s">
        <v>359</v>
      </c>
      <c r="F104" s="5" t="s">
        <v>1016</v>
      </c>
      <c r="G104" s="5" t="s">
        <v>1026</v>
      </c>
      <c r="H104" s="5" t="s">
        <v>1027</v>
      </c>
      <c r="I104" s="5" t="s">
        <v>362</v>
      </c>
      <c r="J104" s="5" t="s">
        <v>373</v>
      </c>
      <c r="K104" s="5" t="s">
        <v>364</v>
      </c>
      <c r="L104" s="5" t="s">
        <v>374</v>
      </c>
      <c r="M104" s="5" t="s">
        <v>366</v>
      </c>
    </row>
    <row r="105" spans="1:13" ht="57" customHeight="1" x14ac:dyDescent="0.2">
      <c r="A105" s="5" t="s">
        <v>1028</v>
      </c>
      <c r="B105" s="5" t="s">
        <v>376</v>
      </c>
      <c r="C105" s="5" t="s">
        <v>1029</v>
      </c>
      <c r="D105" s="5" t="s">
        <v>1030</v>
      </c>
      <c r="E105" s="5" t="s">
        <v>359</v>
      </c>
      <c r="F105" s="5" t="s">
        <v>1016</v>
      </c>
      <c r="G105" s="5" t="s">
        <v>1031</v>
      </c>
      <c r="H105" s="5" t="s">
        <v>1032</v>
      </c>
      <c r="I105" s="5" t="s">
        <v>362</v>
      </c>
      <c r="J105" s="5" t="s">
        <v>381</v>
      </c>
      <c r="K105" s="5" t="s">
        <v>382</v>
      </c>
      <c r="L105" s="5" t="s">
        <v>383</v>
      </c>
      <c r="M105" s="5" t="s">
        <v>366</v>
      </c>
    </row>
    <row r="106" spans="1:13" ht="72" customHeight="1" x14ac:dyDescent="0.2">
      <c r="A106" s="5" t="s">
        <v>1033</v>
      </c>
      <c r="B106" s="5" t="s">
        <v>500</v>
      </c>
      <c r="C106" s="5" t="s">
        <v>1034</v>
      </c>
      <c r="D106" s="5" t="s">
        <v>1035</v>
      </c>
      <c r="E106" s="5" t="s">
        <v>359</v>
      </c>
      <c r="F106" s="5" t="s">
        <v>1016</v>
      </c>
      <c r="G106" s="5" t="s">
        <v>1036</v>
      </c>
      <c r="H106" s="5" t="s">
        <v>1037</v>
      </c>
      <c r="I106" s="5" t="s">
        <v>362</v>
      </c>
      <c r="J106" s="5" t="s">
        <v>505</v>
      </c>
      <c r="K106" s="5" t="s">
        <v>392</v>
      </c>
      <c r="L106" s="5" t="s">
        <v>393</v>
      </c>
      <c r="M106" s="5" t="s">
        <v>506</v>
      </c>
    </row>
    <row r="107" spans="1:13" ht="72" customHeight="1" x14ac:dyDescent="0.2">
      <c r="A107" s="5" t="s">
        <v>1038</v>
      </c>
      <c r="B107" s="5" t="s">
        <v>1039</v>
      </c>
      <c r="C107" s="5" t="s">
        <v>1040</v>
      </c>
      <c r="D107" s="5" t="s">
        <v>1041</v>
      </c>
      <c r="E107" s="5" t="s">
        <v>359</v>
      </c>
      <c r="F107" s="5" t="s">
        <v>1016</v>
      </c>
      <c r="G107" s="5" t="s">
        <v>1042</v>
      </c>
      <c r="H107" s="5" t="s">
        <v>1043</v>
      </c>
      <c r="I107" s="5" t="s">
        <v>362</v>
      </c>
      <c r="J107" s="5" t="s">
        <v>1044</v>
      </c>
      <c r="K107" s="5" t="s">
        <v>364</v>
      </c>
      <c r="L107" s="5" t="s">
        <v>1045</v>
      </c>
      <c r="M107" s="5" t="s">
        <v>366</v>
      </c>
    </row>
    <row r="108" spans="1:13" ht="72" customHeight="1" x14ac:dyDescent="0.2">
      <c r="A108" s="5" t="s">
        <v>1046</v>
      </c>
      <c r="B108" s="5" t="s">
        <v>1047</v>
      </c>
      <c r="C108" s="5" t="s">
        <v>1048</v>
      </c>
      <c r="D108" s="5" t="s">
        <v>1049</v>
      </c>
      <c r="E108" s="5" t="s">
        <v>359</v>
      </c>
      <c r="F108" s="5" t="s">
        <v>1016</v>
      </c>
      <c r="G108" s="5" t="s">
        <v>1050</v>
      </c>
      <c r="H108" s="5" t="s">
        <v>1051</v>
      </c>
      <c r="I108" s="5" t="s">
        <v>362</v>
      </c>
      <c r="J108" s="5" t="s">
        <v>1052</v>
      </c>
      <c r="K108" s="5" t="s">
        <v>364</v>
      </c>
      <c r="L108" s="5" t="s">
        <v>1053</v>
      </c>
      <c r="M108" s="5" t="s">
        <v>366</v>
      </c>
    </row>
    <row r="109" spans="1:13" ht="72" customHeight="1" x14ac:dyDescent="0.2">
      <c r="A109" s="5" t="s">
        <v>1054</v>
      </c>
      <c r="B109" s="5" t="s">
        <v>1055</v>
      </c>
      <c r="C109" s="5" t="s">
        <v>1056</v>
      </c>
      <c r="D109" s="5" t="s">
        <v>1057</v>
      </c>
      <c r="E109" s="5" t="s">
        <v>359</v>
      </c>
      <c r="F109" s="5" t="s">
        <v>1016</v>
      </c>
      <c r="G109" s="5" t="s">
        <v>1058</v>
      </c>
      <c r="H109" s="5" t="s">
        <v>1059</v>
      </c>
      <c r="I109" s="5" t="s">
        <v>362</v>
      </c>
      <c r="J109" s="5" t="s">
        <v>1060</v>
      </c>
      <c r="K109" s="5" t="s">
        <v>364</v>
      </c>
      <c r="L109" s="5" t="s">
        <v>1061</v>
      </c>
      <c r="M109" s="5" t="s">
        <v>366</v>
      </c>
    </row>
    <row r="110" spans="1:13" ht="57" customHeight="1" x14ac:dyDescent="0.2">
      <c r="A110" s="5" t="s">
        <v>1062</v>
      </c>
      <c r="B110" s="5" t="s">
        <v>1063</v>
      </c>
      <c r="C110" s="5" t="s">
        <v>1064</v>
      </c>
      <c r="D110" s="5" t="s">
        <v>1065</v>
      </c>
      <c r="E110" s="5" t="s">
        <v>359</v>
      </c>
      <c r="F110" s="5" t="s">
        <v>1016</v>
      </c>
      <c r="G110" s="5" t="s">
        <v>1066</v>
      </c>
      <c r="H110" s="5" t="s">
        <v>1067</v>
      </c>
      <c r="I110" s="5" t="s">
        <v>362</v>
      </c>
      <c r="J110" s="5" t="s">
        <v>1068</v>
      </c>
      <c r="K110" s="5" t="s">
        <v>364</v>
      </c>
      <c r="L110" s="5" t="s">
        <v>1069</v>
      </c>
      <c r="M110" s="5" t="s">
        <v>366</v>
      </c>
    </row>
    <row r="111" spans="1:13" ht="72" customHeight="1" x14ac:dyDescent="0.2">
      <c r="A111" s="5" t="s">
        <v>1070</v>
      </c>
      <c r="B111" s="5" t="s">
        <v>1071</v>
      </c>
      <c r="C111" s="5" t="s">
        <v>1072</v>
      </c>
      <c r="D111" s="5" t="s">
        <v>1073</v>
      </c>
      <c r="E111" s="5" t="s">
        <v>359</v>
      </c>
      <c r="F111" s="5" t="s">
        <v>1016</v>
      </c>
      <c r="G111" s="5" t="s">
        <v>1074</v>
      </c>
      <c r="H111" s="5" t="s">
        <v>1075</v>
      </c>
      <c r="I111" s="5" t="s">
        <v>362</v>
      </c>
      <c r="J111" s="5" t="s">
        <v>1076</v>
      </c>
      <c r="K111" s="5" t="s">
        <v>364</v>
      </c>
      <c r="L111" s="5" t="s">
        <v>1077</v>
      </c>
      <c r="M111" s="5" t="s">
        <v>366</v>
      </c>
    </row>
    <row r="112" spans="1:13" ht="72" customHeight="1" x14ac:dyDescent="0.2">
      <c r="A112" s="5" t="s">
        <v>1078</v>
      </c>
      <c r="B112" s="5" t="s">
        <v>1079</v>
      </c>
      <c r="C112" s="5" t="s">
        <v>1080</v>
      </c>
      <c r="D112" s="5" t="s">
        <v>1081</v>
      </c>
      <c r="E112" s="5" t="s">
        <v>359</v>
      </c>
      <c r="F112" s="5" t="s">
        <v>1016</v>
      </c>
      <c r="G112" s="5" t="s">
        <v>1082</v>
      </c>
      <c r="H112" s="5" t="s">
        <v>1083</v>
      </c>
      <c r="I112" s="5" t="s">
        <v>362</v>
      </c>
      <c r="J112" s="5" t="s">
        <v>1084</v>
      </c>
      <c r="K112" s="5" t="s">
        <v>364</v>
      </c>
      <c r="L112" s="5" t="s">
        <v>1085</v>
      </c>
      <c r="M112" s="5" t="s">
        <v>366</v>
      </c>
    </row>
    <row r="113" spans="1:13" ht="72" customHeight="1" x14ac:dyDescent="0.2">
      <c r="A113" s="5" t="s">
        <v>1086</v>
      </c>
      <c r="B113" s="5" t="s">
        <v>1087</v>
      </c>
      <c r="C113" s="5" t="s">
        <v>1088</v>
      </c>
      <c r="D113" s="5" t="s">
        <v>1089</v>
      </c>
      <c r="E113" s="5" t="s">
        <v>359</v>
      </c>
      <c r="F113" s="5" t="s">
        <v>1016</v>
      </c>
      <c r="G113" s="5" t="s">
        <v>1090</v>
      </c>
      <c r="H113" s="5" t="s">
        <v>1091</v>
      </c>
      <c r="I113" s="5" t="s">
        <v>362</v>
      </c>
      <c r="J113" s="5" t="s">
        <v>1092</v>
      </c>
      <c r="K113" s="5" t="s">
        <v>364</v>
      </c>
      <c r="L113" s="5" t="s">
        <v>1011</v>
      </c>
      <c r="M113" s="5" t="s">
        <v>366</v>
      </c>
    </row>
    <row r="114" spans="1:13" ht="87" customHeight="1" x14ac:dyDescent="0.2">
      <c r="A114" s="5" t="s">
        <v>1093</v>
      </c>
      <c r="B114" s="5" t="s">
        <v>1094</v>
      </c>
      <c r="C114" s="5" t="s">
        <v>1095</v>
      </c>
      <c r="D114" s="5" t="s">
        <v>1096</v>
      </c>
      <c r="E114" s="5" t="s">
        <v>347</v>
      </c>
      <c r="F114" s="5" t="s">
        <v>1097</v>
      </c>
      <c r="G114" s="5"/>
      <c r="H114" s="5" t="s">
        <v>349</v>
      </c>
      <c r="I114" s="5" t="s">
        <v>350</v>
      </c>
      <c r="J114" s="5" t="s">
        <v>351</v>
      </c>
      <c r="K114" s="5" t="s">
        <v>352</v>
      </c>
      <c r="L114" s="5" t="s">
        <v>353</v>
      </c>
      <c r="M114" s="5" t="s">
        <v>1017</v>
      </c>
    </row>
    <row r="115" spans="1:13" ht="57" customHeight="1" x14ac:dyDescent="0.2">
      <c r="A115" s="5" t="s">
        <v>1098</v>
      </c>
      <c r="B115" s="5" t="s">
        <v>356</v>
      </c>
      <c r="C115" s="5" t="s">
        <v>1099</v>
      </c>
      <c r="D115" s="5" t="s">
        <v>1100</v>
      </c>
      <c r="E115" s="5" t="s">
        <v>359</v>
      </c>
      <c r="F115" s="5" t="s">
        <v>1097</v>
      </c>
      <c r="G115" s="5" t="s">
        <v>1101</v>
      </c>
      <c r="H115" s="5" t="s">
        <v>1102</v>
      </c>
      <c r="I115" s="5" t="s">
        <v>362</v>
      </c>
      <c r="J115" s="5" t="s">
        <v>363</v>
      </c>
      <c r="K115" s="5" t="s">
        <v>364</v>
      </c>
      <c r="L115" s="5" t="s">
        <v>365</v>
      </c>
      <c r="M115" s="5" t="s">
        <v>366</v>
      </c>
    </row>
    <row r="116" spans="1:13" ht="57" customHeight="1" x14ac:dyDescent="0.2">
      <c r="A116" s="5" t="s">
        <v>1103</v>
      </c>
      <c r="B116" s="5" t="s">
        <v>368</v>
      </c>
      <c r="C116" s="5" t="s">
        <v>1104</v>
      </c>
      <c r="D116" s="5" t="s">
        <v>1105</v>
      </c>
      <c r="E116" s="5" t="s">
        <v>359</v>
      </c>
      <c r="F116" s="5" t="s">
        <v>1097</v>
      </c>
      <c r="G116" s="5" t="s">
        <v>1106</v>
      </c>
      <c r="H116" s="5" t="s">
        <v>1107</v>
      </c>
      <c r="I116" s="5" t="s">
        <v>362</v>
      </c>
      <c r="J116" s="5" t="s">
        <v>373</v>
      </c>
      <c r="K116" s="5" t="s">
        <v>364</v>
      </c>
      <c r="L116" s="5" t="s">
        <v>374</v>
      </c>
      <c r="M116" s="5" t="s">
        <v>366</v>
      </c>
    </row>
    <row r="117" spans="1:13" ht="57" customHeight="1" x14ac:dyDescent="0.2">
      <c r="A117" s="5" t="s">
        <v>1108</v>
      </c>
      <c r="B117" s="5" t="s">
        <v>376</v>
      </c>
      <c r="C117" s="5" t="s">
        <v>1109</v>
      </c>
      <c r="D117" s="5" t="s">
        <v>1110</v>
      </c>
      <c r="E117" s="5" t="s">
        <v>359</v>
      </c>
      <c r="F117" s="5" t="s">
        <v>1097</v>
      </c>
      <c r="G117" s="5" t="s">
        <v>1111</v>
      </c>
      <c r="H117" s="5" t="s">
        <v>1112</v>
      </c>
      <c r="I117" s="5" t="s">
        <v>362</v>
      </c>
      <c r="J117" s="5" t="s">
        <v>381</v>
      </c>
      <c r="K117" s="5" t="s">
        <v>382</v>
      </c>
      <c r="L117" s="5" t="s">
        <v>383</v>
      </c>
      <c r="M117" s="5" t="s">
        <v>366</v>
      </c>
    </row>
    <row r="118" spans="1:13" ht="72" customHeight="1" x14ac:dyDescent="0.2">
      <c r="A118" s="5" t="s">
        <v>1113</v>
      </c>
      <c r="B118" s="5" t="s">
        <v>500</v>
      </c>
      <c r="C118" s="5" t="s">
        <v>1114</v>
      </c>
      <c r="D118" s="5" t="s">
        <v>1115</v>
      </c>
      <c r="E118" s="5" t="s">
        <v>359</v>
      </c>
      <c r="F118" s="5" t="s">
        <v>1097</v>
      </c>
      <c r="G118" s="5" t="s">
        <v>1116</v>
      </c>
      <c r="H118" s="5" t="s">
        <v>1117</v>
      </c>
      <c r="I118" s="5" t="s">
        <v>362</v>
      </c>
      <c r="J118" s="5" t="s">
        <v>505</v>
      </c>
      <c r="K118" s="5" t="s">
        <v>392</v>
      </c>
      <c r="L118" s="5" t="s">
        <v>393</v>
      </c>
      <c r="M118" s="5" t="s">
        <v>506</v>
      </c>
    </row>
    <row r="119" spans="1:13" ht="72" customHeight="1" x14ac:dyDescent="0.2">
      <c r="A119" s="5" t="s">
        <v>1118</v>
      </c>
      <c r="B119" s="5" t="s">
        <v>1119</v>
      </c>
      <c r="C119" s="5" t="s">
        <v>1120</v>
      </c>
      <c r="D119" s="5" t="s">
        <v>1121</v>
      </c>
      <c r="E119" s="5" t="s">
        <v>359</v>
      </c>
      <c r="F119" s="5" t="s">
        <v>1097</v>
      </c>
      <c r="G119" s="5" t="s">
        <v>1122</v>
      </c>
      <c r="H119" s="5" t="s">
        <v>1123</v>
      </c>
      <c r="I119" s="5" t="s">
        <v>362</v>
      </c>
      <c r="J119" s="5" t="s">
        <v>1124</v>
      </c>
      <c r="K119" s="5" t="s">
        <v>364</v>
      </c>
      <c r="L119" s="5" t="s">
        <v>1125</v>
      </c>
      <c r="M119" s="5" t="s">
        <v>366</v>
      </c>
    </row>
    <row r="120" spans="1:13" ht="57" customHeight="1" x14ac:dyDescent="0.2">
      <c r="A120" s="5" t="s">
        <v>1126</v>
      </c>
      <c r="B120" s="5" t="s">
        <v>1127</v>
      </c>
      <c r="C120" s="5" t="s">
        <v>1128</v>
      </c>
      <c r="D120" s="5" t="s">
        <v>1129</v>
      </c>
      <c r="E120" s="5" t="s">
        <v>359</v>
      </c>
      <c r="F120" s="5" t="s">
        <v>1097</v>
      </c>
      <c r="G120" s="5" t="s">
        <v>1130</v>
      </c>
      <c r="H120" s="5" t="s">
        <v>1131</v>
      </c>
      <c r="I120" s="5" t="s">
        <v>362</v>
      </c>
      <c r="J120" s="5" t="s">
        <v>1132</v>
      </c>
      <c r="K120" s="5" t="s">
        <v>402</v>
      </c>
      <c r="L120" s="5" t="s">
        <v>1133</v>
      </c>
      <c r="M120" s="5" t="s">
        <v>366</v>
      </c>
    </row>
    <row r="121" spans="1:13" ht="72" customHeight="1" x14ac:dyDescent="0.2">
      <c r="A121" s="5" t="s">
        <v>1134</v>
      </c>
      <c r="B121" s="5" t="s">
        <v>1135</v>
      </c>
      <c r="C121" s="5" t="s">
        <v>1136</v>
      </c>
      <c r="D121" s="5" t="s">
        <v>1137</v>
      </c>
      <c r="E121" s="5" t="s">
        <v>359</v>
      </c>
      <c r="F121" s="5" t="s">
        <v>1097</v>
      </c>
      <c r="G121" s="5" t="s">
        <v>1138</v>
      </c>
      <c r="H121" s="5" t="s">
        <v>1139</v>
      </c>
      <c r="I121" s="5" t="s">
        <v>362</v>
      </c>
      <c r="J121" s="5" t="s">
        <v>1140</v>
      </c>
      <c r="K121" s="5" t="s">
        <v>364</v>
      </c>
      <c r="L121" s="5" t="s">
        <v>1141</v>
      </c>
      <c r="M121" s="5" t="s">
        <v>366</v>
      </c>
    </row>
    <row r="122" spans="1:13" ht="72" customHeight="1" x14ac:dyDescent="0.2">
      <c r="A122" s="5" t="s">
        <v>1142</v>
      </c>
      <c r="B122" s="5" t="s">
        <v>1143</v>
      </c>
      <c r="C122" s="5" t="s">
        <v>1144</v>
      </c>
      <c r="D122" s="5" t="s">
        <v>1145</v>
      </c>
      <c r="E122" s="5" t="s">
        <v>359</v>
      </c>
      <c r="F122" s="5" t="s">
        <v>1097</v>
      </c>
      <c r="G122" s="5" t="s">
        <v>1146</v>
      </c>
      <c r="H122" s="5" t="s">
        <v>1147</v>
      </c>
      <c r="I122" s="5" t="s">
        <v>362</v>
      </c>
      <c r="J122" s="5" t="s">
        <v>1148</v>
      </c>
      <c r="K122" s="5" t="s">
        <v>364</v>
      </c>
      <c r="L122" s="5" t="s">
        <v>1149</v>
      </c>
      <c r="M122" s="5" t="s">
        <v>366</v>
      </c>
    </row>
    <row r="123" spans="1:13" ht="72" customHeight="1" x14ac:dyDescent="0.2">
      <c r="A123" s="5" t="s">
        <v>1150</v>
      </c>
      <c r="B123" s="5" t="s">
        <v>1151</v>
      </c>
      <c r="C123" s="5" t="s">
        <v>1152</v>
      </c>
      <c r="D123" s="5" t="s">
        <v>1153</v>
      </c>
      <c r="E123" s="5" t="s">
        <v>359</v>
      </c>
      <c r="F123" s="5" t="s">
        <v>1097</v>
      </c>
      <c r="G123" s="5" t="s">
        <v>1154</v>
      </c>
      <c r="H123" s="5" t="s">
        <v>1155</v>
      </c>
      <c r="I123" s="5" t="s">
        <v>362</v>
      </c>
      <c r="J123" s="5" t="s">
        <v>1156</v>
      </c>
      <c r="K123" s="5" t="s">
        <v>364</v>
      </c>
      <c r="L123" s="5" t="s">
        <v>1157</v>
      </c>
      <c r="M123" s="5" t="s">
        <v>366</v>
      </c>
    </row>
    <row r="124" spans="1:13" ht="72" customHeight="1" x14ac:dyDescent="0.2">
      <c r="A124" s="5" t="s">
        <v>1158</v>
      </c>
      <c r="B124" s="5" t="s">
        <v>1159</v>
      </c>
      <c r="C124" s="5" t="s">
        <v>1160</v>
      </c>
      <c r="D124" s="5" t="s">
        <v>1161</v>
      </c>
      <c r="E124" s="5" t="s">
        <v>359</v>
      </c>
      <c r="F124" s="5" t="s">
        <v>1097</v>
      </c>
      <c r="G124" s="5" t="s">
        <v>1162</v>
      </c>
      <c r="H124" s="5" t="s">
        <v>1163</v>
      </c>
      <c r="I124" s="5" t="s">
        <v>362</v>
      </c>
      <c r="J124" s="5" t="s">
        <v>1164</v>
      </c>
      <c r="K124" s="5" t="s">
        <v>364</v>
      </c>
      <c r="L124" s="5" t="s">
        <v>1165</v>
      </c>
      <c r="M124" s="5" t="s">
        <v>366</v>
      </c>
    </row>
    <row r="125" spans="1:13" ht="72" customHeight="1" x14ac:dyDescent="0.2">
      <c r="A125" s="5" t="s">
        <v>1166</v>
      </c>
      <c r="B125" s="5" t="s">
        <v>1167</v>
      </c>
      <c r="C125" s="5" t="s">
        <v>1168</v>
      </c>
      <c r="D125" s="5" t="s">
        <v>1169</v>
      </c>
      <c r="E125" s="5" t="s">
        <v>359</v>
      </c>
      <c r="F125" s="5" t="s">
        <v>1097</v>
      </c>
      <c r="G125" s="5" t="s">
        <v>1170</v>
      </c>
      <c r="H125" s="5" t="s">
        <v>1171</v>
      </c>
      <c r="I125" s="5" t="s">
        <v>362</v>
      </c>
      <c r="J125" s="5" t="s">
        <v>1172</v>
      </c>
      <c r="K125" s="5" t="s">
        <v>364</v>
      </c>
      <c r="L125" s="5" t="s">
        <v>1011</v>
      </c>
      <c r="M125" s="5" t="s">
        <v>366</v>
      </c>
    </row>
    <row r="126" spans="1:13" ht="87" customHeight="1" x14ac:dyDescent="0.2">
      <c r="A126" s="5" t="s">
        <v>1173</v>
      </c>
      <c r="B126" s="5" t="s">
        <v>1174</v>
      </c>
      <c r="C126" s="5" t="s">
        <v>1175</v>
      </c>
      <c r="D126" s="5" t="s">
        <v>1176</v>
      </c>
      <c r="E126" s="5" t="s">
        <v>347</v>
      </c>
      <c r="F126" s="5" t="s">
        <v>1177</v>
      </c>
      <c r="G126" s="5"/>
      <c r="H126" s="5" t="s">
        <v>349</v>
      </c>
      <c r="I126" s="5" t="s">
        <v>350</v>
      </c>
      <c r="J126" s="5" t="s">
        <v>351</v>
      </c>
      <c r="K126" s="5" t="s">
        <v>352</v>
      </c>
      <c r="L126" s="5" t="s">
        <v>353</v>
      </c>
      <c r="M126" s="5" t="s">
        <v>1017</v>
      </c>
    </row>
    <row r="127" spans="1:13" ht="57" customHeight="1" x14ac:dyDescent="0.2">
      <c r="A127" s="5" t="s">
        <v>1178</v>
      </c>
      <c r="B127" s="5" t="s">
        <v>356</v>
      </c>
      <c r="C127" s="5" t="s">
        <v>1179</v>
      </c>
      <c r="D127" s="5" t="s">
        <v>1180</v>
      </c>
      <c r="E127" s="5" t="s">
        <v>359</v>
      </c>
      <c r="F127" s="5" t="s">
        <v>1177</v>
      </c>
      <c r="G127" s="5" t="s">
        <v>1181</v>
      </c>
      <c r="H127" s="5" t="s">
        <v>1182</v>
      </c>
      <c r="I127" s="5" t="s">
        <v>362</v>
      </c>
      <c r="J127" s="5" t="s">
        <v>363</v>
      </c>
      <c r="K127" s="5" t="s">
        <v>364</v>
      </c>
      <c r="L127" s="5" t="s">
        <v>365</v>
      </c>
      <c r="M127" s="5" t="s">
        <v>366</v>
      </c>
    </row>
    <row r="128" spans="1:13" ht="57" customHeight="1" x14ac:dyDescent="0.2">
      <c r="A128" s="5" t="s">
        <v>1183</v>
      </c>
      <c r="B128" s="5" t="s">
        <v>368</v>
      </c>
      <c r="C128" s="5" t="s">
        <v>1184</v>
      </c>
      <c r="D128" s="5" t="s">
        <v>1185</v>
      </c>
      <c r="E128" s="5" t="s">
        <v>359</v>
      </c>
      <c r="F128" s="5" t="s">
        <v>1177</v>
      </c>
      <c r="G128" s="5" t="s">
        <v>1186</v>
      </c>
      <c r="H128" s="5" t="s">
        <v>1187</v>
      </c>
      <c r="I128" s="5" t="s">
        <v>362</v>
      </c>
      <c r="J128" s="5" t="s">
        <v>373</v>
      </c>
      <c r="K128" s="5" t="s">
        <v>364</v>
      </c>
      <c r="L128" s="5" t="s">
        <v>374</v>
      </c>
      <c r="M128" s="5" t="s">
        <v>366</v>
      </c>
    </row>
    <row r="129" spans="1:13" ht="57" customHeight="1" x14ac:dyDescent="0.2">
      <c r="A129" s="5" t="s">
        <v>1188</v>
      </c>
      <c r="B129" s="5" t="s">
        <v>376</v>
      </c>
      <c r="C129" s="5" t="s">
        <v>1189</v>
      </c>
      <c r="D129" s="5" t="s">
        <v>1190</v>
      </c>
      <c r="E129" s="5" t="s">
        <v>359</v>
      </c>
      <c r="F129" s="5" t="s">
        <v>1177</v>
      </c>
      <c r="G129" s="5" t="s">
        <v>1191</v>
      </c>
      <c r="H129" s="5" t="s">
        <v>1192</v>
      </c>
      <c r="I129" s="5" t="s">
        <v>362</v>
      </c>
      <c r="J129" s="5" t="s">
        <v>381</v>
      </c>
      <c r="K129" s="5" t="s">
        <v>382</v>
      </c>
      <c r="L129" s="5" t="s">
        <v>383</v>
      </c>
      <c r="M129" s="5" t="s">
        <v>366</v>
      </c>
    </row>
    <row r="130" spans="1:13" ht="72" customHeight="1" x14ac:dyDescent="0.2">
      <c r="A130" s="5" t="s">
        <v>1193</v>
      </c>
      <c r="B130" s="5" t="s">
        <v>500</v>
      </c>
      <c r="C130" s="5" t="s">
        <v>1194</v>
      </c>
      <c r="D130" s="5" t="s">
        <v>1195</v>
      </c>
      <c r="E130" s="5" t="s">
        <v>359</v>
      </c>
      <c r="F130" s="5" t="s">
        <v>1177</v>
      </c>
      <c r="G130" s="5" t="s">
        <v>1196</v>
      </c>
      <c r="H130" s="5" t="s">
        <v>1197</v>
      </c>
      <c r="I130" s="5" t="s">
        <v>362</v>
      </c>
      <c r="J130" s="5" t="s">
        <v>505</v>
      </c>
      <c r="K130" s="5" t="s">
        <v>392</v>
      </c>
      <c r="L130" s="5" t="s">
        <v>393</v>
      </c>
      <c r="M130" s="5" t="s">
        <v>506</v>
      </c>
    </row>
    <row r="131" spans="1:13" ht="57" customHeight="1" x14ac:dyDescent="0.2">
      <c r="A131" s="5" t="s">
        <v>1198</v>
      </c>
      <c r="B131" s="5" t="s">
        <v>1199</v>
      </c>
      <c r="C131" s="5" t="s">
        <v>1200</v>
      </c>
      <c r="D131" s="5" t="s">
        <v>1201</v>
      </c>
      <c r="E131" s="5" t="s">
        <v>359</v>
      </c>
      <c r="F131" s="5" t="s">
        <v>1177</v>
      </c>
      <c r="G131" s="5" t="s">
        <v>1202</v>
      </c>
      <c r="H131" s="5" t="s">
        <v>1203</v>
      </c>
      <c r="I131" s="5" t="s">
        <v>362</v>
      </c>
      <c r="J131" s="5" t="s">
        <v>1204</v>
      </c>
      <c r="K131" s="5" t="s">
        <v>402</v>
      </c>
      <c r="L131" s="5" t="s">
        <v>1205</v>
      </c>
      <c r="M131" s="5" t="s">
        <v>366</v>
      </c>
    </row>
    <row r="132" spans="1:13" ht="57" customHeight="1" x14ac:dyDescent="0.2">
      <c r="A132" s="5" t="s">
        <v>1206</v>
      </c>
      <c r="B132" s="5" t="s">
        <v>1207</v>
      </c>
      <c r="C132" s="5" t="s">
        <v>1208</v>
      </c>
      <c r="D132" s="5" t="s">
        <v>1209</v>
      </c>
      <c r="E132" s="5" t="s">
        <v>359</v>
      </c>
      <c r="F132" s="5" t="s">
        <v>1177</v>
      </c>
      <c r="G132" s="5" t="s">
        <v>1210</v>
      </c>
      <c r="H132" s="5" t="s">
        <v>1211</v>
      </c>
      <c r="I132" s="5" t="s">
        <v>390</v>
      </c>
      <c r="J132" s="5" t="s">
        <v>1212</v>
      </c>
      <c r="K132" s="5" t="s">
        <v>364</v>
      </c>
      <c r="L132" s="5" t="s">
        <v>1213</v>
      </c>
      <c r="M132" s="5" t="s">
        <v>366</v>
      </c>
    </row>
    <row r="133" spans="1:13" ht="72" customHeight="1" x14ac:dyDescent="0.2">
      <c r="A133" s="5" t="s">
        <v>1214</v>
      </c>
      <c r="B133" s="5" t="s">
        <v>1215</v>
      </c>
      <c r="C133" s="5" t="s">
        <v>1216</v>
      </c>
      <c r="D133" s="5" t="s">
        <v>1217</v>
      </c>
      <c r="E133" s="5" t="s">
        <v>359</v>
      </c>
      <c r="F133" s="5" t="s">
        <v>1177</v>
      </c>
      <c r="G133" s="5" t="s">
        <v>1218</v>
      </c>
      <c r="H133" s="5" t="s">
        <v>1219</v>
      </c>
      <c r="I133" s="5" t="s">
        <v>390</v>
      </c>
      <c r="J133" s="5" t="s">
        <v>1220</v>
      </c>
      <c r="K133" s="5" t="s">
        <v>364</v>
      </c>
      <c r="L133" s="5" t="s">
        <v>1221</v>
      </c>
      <c r="M133" s="5" t="s">
        <v>366</v>
      </c>
    </row>
    <row r="134" spans="1:13" ht="72" customHeight="1" x14ac:dyDescent="0.2">
      <c r="A134" s="5" t="s">
        <v>1222</v>
      </c>
      <c r="B134" s="5" t="s">
        <v>1223</v>
      </c>
      <c r="C134" s="5" t="s">
        <v>1224</v>
      </c>
      <c r="D134" s="5" t="s">
        <v>1225</v>
      </c>
      <c r="E134" s="5" t="s">
        <v>359</v>
      </c>
      <c r="F134" s="5" t="s">
        <v>1177</v>
      </c>
      <c r="G134" s="5" t="s">
        <v>1226</v>
      </c>
      <c r="H134" s="5" t="s">
        <v>1227</v>
      </c>
      <c r="I134" s="5" t="s">
        <v>362</v>
      </c>
      <c r="J134" s="5" t="s">
        <v>1228</v>
      </c>
      <c r="K134" s="5" t="s">
        <v>364</v>
      </c>
      <c r="L134" s="5" t="s">
        <v>1229</v>
      </c>
      <c r="M134" s="5" t="s">
        <v>366</v>
      </c>
    </row>
    <row r="135" spans="1:13" ht="57" customHeight="1" x14ac:dyDescent="0.2">
      <c r="A135" s="5" t="s">
        <v>1230</v>
      </c>
      <c r="B135" s="5" t="s">
        <v>1231</v>
      </c>
      <c r="C135" s="5" t="s">
        <v>1232</v>
      </c>
      <c r="D135" s="5" t="s">
        <v>1233</v>
      </c>
      <c r="E135" s="5" t="s">
        <v>359</v>
      </c>
      <c r="F135" s="5" t="s">
        <v>1177</v>
      </c>
      <c r="G135" s="5" t="s">
        <v>1234</v>
      </c>
      <c r="H135" s="5" t="s">
        <v>1235</v>
      </c>
      <c r="I135" s="5" t="s">
        <v>362</v>
      </c>
      <c r="J135" s="5" t="s">
        <v>1236</v>
      </c>
      <c r="K135" s="5" t="s">
        <v>364</v>
      </c>
      <c r="L135" s="5" t="s">
        <v>1237</v>
      </c>
      <c r="M135" s="5" t="s">
        <v>366</v>
      </c>
    </row>
    <row r="136" spans="1:13" ht="72" customHeight="1" x14ac:dyDescent="0.2">
      <c r="A136" s="5" t="s">
        <v>1238</v>
      </c>
      <c r="B136" s="5" t="s">
        <v>1239</v>
      </c>
      <c r="C136" s="5" t="s">
        <v>1240</v>
      </c>
      <c r="D136" s="5" t="s">
        <v>1241</v>
      </c>
      <c r="E136" s="5" t="s">
        <v>359</v>
      </c>
      <c r="F136" s="5" t="s">
        <v>1177</v>
      </c>
      <c r="G136" s="5" t="s">
        <v>1242</v>
      </c>
      <c r="H136" s="5" t="s">
        <v>1243</v>
      </c>
      <c r="I136" s="5" t="s">
        <v>362</v>
      </c>
      <c r="J136" s="5" t="s">
        <v>1244</v>
      </c>
      <c r="K136" s="5" t="s">
        <v>514</v>
      </c>
      <c r="L136" s="5" t="s">
        <v>515</v>
      </c>
      <c r="M136" s="5" t="s">
        <v>366</v>
      </c>
    </row>
    <row r="137" spans="1:13" ht="72" customHeight="1" x14ac:dyDescent="0.2">
      <c r="A137" s="5" t="s">
        <v>1245</v>
      </c>
      <c r="B137" s="5" t="s">
        <v>1246</v>
      </c>
      <c r="C137" s="5" t="s">
        <v>1247</v>
      </c>
      <c r="D137" s="5" t="s">
        <v>1248</v>
      </c>
      <c r="E137" s="5" t="s">
        <v>359</v>
      </c>
      <c r="F137" s="5" t="s">
        <v>1177</v>
      </c>
      <c r="G137" s="5" t="s">
        <v>1249</v>
      </c>
      <c r="H137" s="5" t="s">
        <v>1250</v>
      </c>
      <c r="I137" s="5" t="s">
        <v>362</v>
      </c>
      <c r="J137" s="5" t="s">
        <v>1251</v>
      </c>
      <c r="K137" s="5" t="s">
        <v>364</v>
      </c>
      <c r="L137" s="5" t="s">
        <v>914</v>
      </c>
      <c r="M137" s="5" t="s">
        <v>366</v>
      </c>
    </row>
    <row r="138" spans="1:13" ht="72" customHeight="1" x14ac:dyDescent="0.2">
      <c r="A138" s="5" t="s">
        <v>1252</v>
      </c>
      <c r="B138" s="5" t="s">
        <v>1253</v>
      </c>
      <c r="C138" s="5" t="s">
        <v>1254</v>
      </c>
      <c r="D138" s="5" t="s">
        <v>1255</v>
      </c>
      <c r="E138" s="5" t="s">
        <v>359</v>
      </c>
      <c r="F138" s="5" t="s">
        <v>1177</v>
      </c>
      <c r="G138" s="5" t="s">
        <v>1256</v>
      </c>
      <c r="H138" s="5" t="s">
        <v>1257</v>
      </c>
      <c r="I138" s="5" t="s">
        <v>362</v>
      </c>
      <c r="J138" s="5" t="s">
        <v>1258</v>
      </c>
      <c r="K138" s="5" t="s">
        <v>364</v>
      </c>
      <c r="L138" s="5" t="s">
        <v>1259</v>
      </c>
      <c r="M138" s="5" t="s">
        <v>366</v>
      </c>
    </row>
    <row r="139" spans="1:13" ht="87" customHeight="1" x14ac:dyDescent="0.2">
      <c r="A139" s="5" t="s">
        <v>1260</v>
      </c>
      <c r="B139" s="5" t="s">
        <v>1261</v>
      </c>
      <c r="C139" s="5" t="s">
        <v>1262</v>
      </c>
      <c r="D139" s="5" t="s">
        <v>1263</v>
      </c>
      <c r="E139" s="5" t="s">
        <v>359</v>
      </c>
      <c r="F139" s="5" t="s">
        <v>1177</v>
      </c>
      <c r="G139" s="5" t="s">
        <v>1264</v>
      </c>
      <c r="H139" s="5" t="s">
        <v>1265</v>
      </c>
      <c r="I139" s="5" t="s">
        <v>362</v>
      </c>
      <c r="J139" s="5" t="s">
        <v>1266</v>
      </c>
      <c r="K139" s="5" t="s">
        <v>402</v>
      </c>
      <c r="L139" s="5" t="s">
        <v>1267</v>
      </c>
      <c r="M139" s="5" t="s">
        <v>366</v>
      </c>
    </row>
    <row r="140" spans="1:13" ht="87" customHeight="1" x14ac:dyDescent="0.2">
      <c r="A140" s="5" t="s">
        <v>1268</v>
      </c>
      <c r="B140" s="5" t="s">
        <v>1269</v>
      </c>
      <c r="C140" s="5" t="s">
        <v>1270</v>
      </c>
      <c r="D140" s="5" t="s">
        <v>1271</v>
      </c>
      <c r="E140" s="5" t="s">
        <v>347</v>
      </c>
      <c r="F140" s="5" t="s">
        <v>1272</v>
      </c>
      <c r="G140" s="5"/>
      <c r="H140" s="5" t="s">
        <v>349</v>
      </c>
      <c r="I140" s="5" t="s">
        <v>350</v>
      </c>
      <c r="J140" s="5" t="s">
        <v>351</v>
      </c>
      <c r="K140" s="5" t="s">
        <v>352</v>
      </c>
      <c r="L140" s="5" t="s">
        <v>353</v>
      </c>
      <c r="M140" s="5" t="s">
        <v>1273</v>
      </c>
    </row>
    <row r="141" spans="1:13" ht="57" customHeight="1" x14ac:dyDescent="0.2">
      <c r="A141" s="5" t="s">
        <v>1274</v>
      </c>
      <c r="B141" s="5" t="s">
        <v>356</v>
      </c>
      <c r="C141" s="5" t="s">
        <v>1275</v>
      </c>
      <c r="D141" s="5" t="s">
        <v>1276</v>
      </c>
      <c r="E141" s="5" t="s">
        <v>359</v>
      </c>
      <c r="F141" s="5" t="s">
        <v>1272</v>
      </c>
      <c r="G141" s="5" t="s">
        <v>1277</v>
      </c>
      <c r="H141" s="5" t="s">
        <v>1278</v>
      </c>
      <c r="I141" s="5" t="s">
        <v>362</v>
      </c>
      <c r="J141" s="5" t="s">
        <v>363</v>
      </c>
      <c r="K141" s="5" t="s">
        <v>364</v>
      </c>
      <c r="L141" s="5" t="s">
        <v>365</v>
      </c>
      <c r="M141" s="5" t="s">
        <v>366</v>
      </c>
    </row>
    <row r="142" spans="1:13" ht="57" customHeight="1" x14ac:dyDescent="0.2">
      <c r="A142" s="5" t="s">
        <v>1279</v>
      </c>
      <c r="B142" s="5" t="s">
        <v>368</v>
      </c>
      <c r="C142" s="5" t="s">
        <v>1280</v>
      </c>
      <c r="D142" s="5" t="s">
        <v>1281</v>
      </c>
      <c r="E142" s="5" t="s">
        <v>359</v>
      </c>
      <c r="F142" s="5" t="s">
        <v>1272</v>
      </c>
      <c r="G142" s="5" t="s">
        <v>1282</v>
      </c>
      <c r="H142" s="5" t="s">
        <v>1283</v>
      </c>
      <c r="I142" s="5" t="s">
        <v>362</v>
      </c>
      <c r="J142" s="5" t="s">
        <v>373</v>
      </c>
      <c r="K142" s="5" t="s">
        <v>364</v>
      </c>
      <c r="L142" s="5" t="s">
        <v>374</v>
      </c>
      <c r="M142" s="5" t="s">
        <v>366</v>
      </c>
    </row>
    <row r="143" spans="1:13" ht="57" customHeight="1" x14ac:dyDescent="0.2">
      <c r="A143" s="5" t="s">
        <v>1284</v>
      </c>
      <c r="B143" s="5" t="s">
        <v>376</v>
      </c>
      <c r="C143" s="5" t="s">
        <v>1285</v>
      </c>
      <c r="D143" s="5" t="s">
        <v>1286</v>
      </c>
      <c r="E143" s="5" t="s">
        <v>359</v>
      </c>
      <c r="F143" s="5" t="s">
        <v>1272</v>
      </c>
      <c r="G143" s="5" t="s">
        <v>1287</v>
      </c>
      <c r="H143" s="5" t="s">
        <v>1288</v>
      </c>
      <c r="I143" s="5" t="s">
        <v>362</v>
      </c>
      <c r="J143" s="5" t="s">
        <v>381</v>
      </c>
      <c r="K143" s="5" t="s">
        <v>382</v>
      </c>
      <c r="L143" s="5" t="s">
        <v>383</v>
      </c>
      <c r="M143" s="5" t="s">
        <v>366</v>
      </c>
    </row>
    <row r="144" spans="1:13" ht="72" customHeight="1" x14ac:dyDescent="0.2">
      <c r="A144" s="5" t="s">
        <v>1289</v>
      </c>
      <c r="B144" s="5" t="s">
        <v>500</v>
      </c>
      <c r="C144" s="5" t="s">
        <v>1290</v>
      </c>
      <c r="D144" s="5" t="s">
        <v>1291</v>
      </c>
      <c r="E144" s="5" t="s">
        <v>359</v>
      </c>
      <c r="F144" s="5" t="s">
        <v>1272</v>
      </c>
      <c r="G144" s="5" t="s">
        <v>1292</v>
      </c>
      <c r="H144" s="5" t="s">
        <v>1293</v>
      </c>
      <c r="I144" s="5" t="s">
        <v>362</v>
      </c>
      <c r="J144" s="5" t="s">
        <v>505</v>
      </c>
      <c r="K144" s="5" t="s">
        <v>392</v>
      </c>
      <c r="L144" s="5" t="s">
        <v>393</v>
      </c>
      <c r="M144" s="5" t="s">
        <v>506</v>
      </c>
    </row>
    <row r="145" spans="1:13" ht="57" customHeight="1" x14ac:dyDescent="0.2">
      <c r="A145" s="5" t="s">
        <v>1294</v>
      </c>
      <c r="B145" s="5" t="s">
        <v>1295</v>
      </c>
      <c r="C145" s="5" t="s">
        <v>1296</v>
      </c>
      <c r="D145" s="5" t="s">
        <v>1297</v>
      </c>
      <c r="E145" s="5" t="s">
        <v>359</v>
      </c>
      <c r="F145" s="5" t="s">
        <v>1272</v>
      </c>
      <c r="G145" s="5" t="s">
        <v>1298</v>
      </c>
      <c r="H145" s="5" t="s">
        <v>1299</v>
      </c>
      <c r="I145" s="5" t="s">
        <v>362</v>
      </c>
      <c r="J145" s="5" t="s">
        <v>1300</v>
      </c>
      <c r="K145" s="5" t="s">
        <v>392</v>
      </c>
      <c r="L145" s="5" t="s">
        <v>393</v>
      </c>
      <c r="M145" s="5" t="s">
        <v>1301</v>
      </c>
    </row>
    <row r="146" spans="1:13" ht="57" customHeight="1" x14ac:dyDescent="0.2">
      <c r="A146" s="5" t="s">
        <v>1302</v>
      </c>
      <c r="B146" s="5" t="s">
        <v>420</v>
      </c>
      <c r="C146" s="5" t="s">
        <v>1303</v>
      </c>
      <c r="D146" s="5" t="s">
        <v>1304</v>
      </c>
      <c r="E146" s="5" t="s">
        <v>359</v>
      </c>
      <c r="F146" s="5" t="s">
        <v>1272</v>
      </c>
      <c r="G146" s="5" t="s">
        <v>1305</v>
      </c>
      <c r="H146" s="5" t="s">
        <v>1306</v>
      </c>
      <c r="I146" s="5" t="s">
        <v>362</v>
      </c>
      <c r="J146" s="5" t="s">
        <v>425</v>
      </c>
      <c r="K146" s="5" t="s">
        <v>392</v>
      </c>
      <c r="L146" s="5" t="s">
        <v>393</v>
      </c>
      <c r="M146" s="5" t="s">
        <v>426</v>
      </c>
    </row>
    <row r="147" spans="1:13" ht="57" customHeight="1" x14ac:dyDescent="0.2">
      <c r="A147" s="5" t="s">
        <v>1307</v>
      </c>
      <c r="B147" s="5" t="s">
        <v>1308</v>
      </c>
      <c r="C147" s="5" t="s">
        <v>1309</v>
      </c>
      <c r="D147" s="5" t="s">
        <v>1310</v>
      </c>
      <c r="E147" s="5" t="s">
        <v>359</v>
      </c>
      <c r="F147" s="5" t="s">
        <v>1272</v>
      </c>
      <c r="G147" s="5" t="s">
        <v>1311</v>
      </c>
      <c r="H147" s="5" t="s">
        <v>1312</v>
      </c>
      <c r="I147" s="5" t="s">
        <v>390</v>
      </c>
      <c r="J147" s="5" t="s">
        <v>1313</v>
      </c>
      <c r="K147" s="5" t="s">
        <v>571</v>
      </c>
      <c r="L147" s="5" t="s">
        <v>572</v>
      </c>
      <c r="M147" s="5" t="s">
        <v>426</v>
      </c>
    </row>
    <row r="148" spans="1:13" ht="57" customHeight="1" x14ac:dyDescent="0.2">
      <c r="A148" s="5" t="s">
        <v>1314</v>
      </c>
      <c r="B148" s="5" t="s">
        <v>1315</v>
      </c>
      <c r="C148" s="5" t="s">
        <v>1316</v>
      </c>
      <c r="D148" s="5" t="s">
        <v>1317</v>
      </c>
      <c r="E148" s="5" t="s">
        <v>359</v>
      </c>
      <c r="F148" s="5" t="s">
        <v>1272</v>
      </c>
      <c r="G148" s="5" t="s">
        <v>1318</v>
      </c>
      <c r="H148" s="5" t="s">
        <v>1319</v>
      </c>
      <c r="I148" s="5" t="s">
        <v>390</v>
      </c>
      <c r="J148" s="5" t="s">
        <v>1320</v>
      </c>
      <c r="K148" s="5" t="s">
        <v>571</v>
      </c>
      <c r="L148" s="5" t="s">
        <v>572</v>
      </c>
      <c r="M148" s="5" t="s">
        <v>1321</v>
      </c>
    </row>
    <row r="149" spans="1:13" ht="72" customHeight="1" x14ac:dyDescent="0.2">
      <c r="A149" s="5" t="s">
        <v>1322</v>
      </c>
      <c r="B149" s="5" t="s">
        <v>1323</v>
      </c>
      <c r="C149" s="5" t="s">
        <v>1324</v>
      </c>
      <c r="D149" s="5" t="s">
        <v>1325</v>
      </c>
      <c r="E149" s="5" t="s">
        <v>359</v>
      </c>
      <c r="F149" s="5" t="s">
        <v>1272</v>
      </c>
      <c r="G149" s="5" t="s">
        <v>1326</v>
      </c>
      <c r="H149" s="5" t="s">
        <v>1327</v>
      </c>
      <c r="I149" s="5" t="s">
        <v>362</v>
      </c>
      <c r="J149" s="5" t="s">
        <v>1328</v>
      </c>
      <c r="K149" s="5" t="s">
        <v>364</v>
      </c>
      <c r="L149" s="5" t="s">
        <v>1329</v>
      </c>
      <c r="M149" s="5" t="s">
        <v>366</v>
      </c>
    </row>
    <row r="150" spans="1:13" ht="72" customHeight="1" x14ac:dyDescent="0.2">
      <c r="A150" s="5" t="s">
        <v>1330</v>
      </c>
      <c r="B150" s="5" t="s">
        <v>1331</v>
      </c>
      <c r="C150" s="5" t="s">
        <v>1332</v>
      </c>
      <c r="D150" s="5" t="s">
        <v>1333</v>
      </c>
      <c r="E150" s="5" t="s">
        <v>359</v>
      </c>
      <c r="F150" s="5" t="s">
        <v>1272</v>
      </c>
      <c r="G150" s="5" t="s">
        <v>1334</v>
      </c>
      <c r="H150" s="5" t="s">
        <v>1335</v>
      </c>
      <c r="I150" s="5" t="s">
        <v>362</v>
      </c>
      <c r="J150" s="5" t="s">
        <v>1336</v>
      </c>
      <c r="K150" s="5" t="s">
        <v>364</v>
      </c>
      <c r="L150" s="5" t="s">
        <v>1337</v>
      </c>
      <c r="M150" s="5" t="s">
        <v>366</v>
      </c>
    </row>
    <row r="151" spans="1:13" ht="72" customHeight="1" x14ac:dyDescent="0.2">
      <c r="A151" s="5" t="s">
        <v>1338</v>
      </c>
      <c r="B151" s="5" t="s">
        <v>1339</v>
      </c>
      <c r="C151" s="5" t="s">
        <v>1340</v>
      </c>
      <c r="D151" s="5" t="s">
        <v>1341</v>
      </c>
      <c r="E151" s="5" t="s">
        <v>359</v>
      </c>
      <c r="F151" s="5" t="s">
        <v>1272</v>
      </c>
      <c r="G151" s="5" t="s">
        <v>1342</v>
      </c>
      <c r="H151" s="5" t="s">
        <v>1343</v>
      </c>
      <c r="I151" s="5" t="s">
        <v>362</v>
      </c>
      <c r="J151" s="5" t="s">
        <v>1344</v>
      </c>
      <c r="K151" s="5" t="s">
        <v>364</v>
      </c>
      <c r="L151" s="5" t="s">
        <v>1345</v>
      </c>
      <c r="M151" s="5" t="s">
        <v>366</v>
      </c>
    </row>
    <row r="152" spans="1:13" ht="87" customHeight="1" x14ac:dyDescent="0.2">
      <c r="A152" s="5" t="s">
        <v>1346</v>
      </c>
      <c r="B152" s="5" t="s">
        <v>1347</v>
      </c>
      <c r="C152" s="5" t="s">
        <v>1348</v>
      </c>
      <c r="D152" s="5" t="s">
        <v>1349</v>
      </c>
      <c r="E152" s="5" t="s">
        <v>347</v>
      </c>
      <c r="F152" s="5" t="s">
        <v>1350</v>
      </c>
      <c r="G152" s="5"/>
      <c r="H152" s="5" t="s">
        <v>349</v>
      </c>
      <c r="I152" s="5" t="s">
        <v>350</v>
      </c>
      <c r="J152" s="5" t="s">
        <v>351</v>
      </c>
      <c r="K152" s="5" t="s">
        <v>352</v>
      </c>
      <c r="L152" s="5" t="s">
        <v>353</v>
      </c>
      <c r="M152" s="5" t="s">
        <v>1351</v>
      </c>
    </row>
    <row r="153" spans="1:13" ht="57" customHeight="1" x14ac:dyDescent="0.2">
      <c r="A153" s="5" t="s">
        <v>1352</v>
      </c>
      <c r="B153" s="5" t="s">
        <v>356</v>
      </c>
      <c r="C153" s="5" t="s">
        <v>1353</v>
      </c>
      <c r="D153" s="5" t="s">
        <v>1354</v>
      </c>
      <c r="E153" s="5" t="s">
        <v>359</v>
      </c>
      <c r="F153" s="5" t="s">
        <v>1350</v>
      </c>
      <c r="G153" s="5" t="s">
        <v>1355</v>
      </c>
      <c r="H153" s="5" t="s">
        <v>1356</v>
      </c>
      <c r="I153" s="5" t="s">
        <v>362</v>
      </c>
      <c r="J153" s="5" t="s">
        <v>363</v>
      </c>
      <c r="K153" s="5" t="s">
        <v>364</v>
      </c>
      <c r="L153" s="5" t="s">
        <v>365</v>
      </c>
      <c r="M153" s="5" t="s">
        <v>366</v>
      </c>
    </row>
    <row r="154" spans="1:13" ht="57" customHeight="1" x14ac:dyDescent="0.2">
      <c r="A154" s="5" t="s">
        <v>1357</v>
      </c>
      <c r="B154" s="5" t="s">
        <v>368</v>
      </c>
      <c r="C154" s="5" t="s">
        <v>1358</v>
      </c>
      <c r="D154" s="5" t="s">
        <v>1359</v>
      </c>
      <c r="E154" s="5" t="s">
        <v>359</v>
      </c>
      <c r="F154" s="5" t="s">
        <v>1350</v>
      </c>
      <c r="G154" s="5" t="s">
        <v>1360</v>
      </c>
      <c r="H154" s="5" t="s">
        <v>1361</v>
      </c>
      <c r="I154" s="5" t="s">
        <v>362</v>
      </c>
      <c r="J154" s="5" t="s">
        <v>373</v>
      </c>
      <c r="K154" s="5" t="s">
        <v>364</v>
      </c>
      <c r="L154" s="5" t="s">
        <v>374</v>
      </c>
      <c r="M154" s="5" t="s">
        <v>366</v>
      </c>
    </row>
    <row r="155" spans="1:13" ht="57" customHeight="1" x14ac:dyDescent="0.2">
      <c r="A155" s="5" t="s">
        <v>1362</v>
      </c>
      <c r="B155" s="5" t="s">
        <v>376</v>
      </c>
      <c r="C155" s="5" t="s">
        <v>1363</v>
      </c>
      <c r="D155" s="5" t="s">
        <v>1364</v>
      </c>
      <c r="E155" s="5" t="s">
        <v>359</v>
      </c>
      <c r="F155" s="5" t="s">
        <v>1350</v>
      </c>
      <c r="G155" s="5" t="s">
        <v>1365</v>
      </c>
      <c r="H155" s="5" t="s">
        <v>1366</v>
      </c>
      <c r="I155" s="5" t="s">
        <v>362</v>
      </c>
      <c r="J155" s="5" t="s">
        <v>381</v>
      </c>
      <c r="K155" s="5" t="s">
        <v>382</v>
      </c>
      <c r="L155" s="5" t="s">
        <v>383</v>
      </c>
      <c r="M155" s="5" t="s">
        <v>366</v>
      </c>
    </row>
    <row r="156" spans="1:13" ht="72" customHeight="1" x14ac:dyDescent="0.2">
      <c r="A156" s="5" t="s">
        <v>1367</v>
      </c>
      <c r="B156" s="5" t="s">
        <v>500</v>
      </c>
      <c r="C156" s="5" t="s">
        <v>1368</v>
      </c>
      <c r="D156" s="5" t="s">
        <v>1369</v>
      </c>
      <c r="E156" s="5" t="s">
        <v>359</v>
      </c>
      <c r="F156" s="5" t="s">
        <v>1350</v>
      </c>
      <c r="G156" s="5" t="s">
        <v>1370</v>
      </c>
      <c r="H156" s="5" t="s">
        <v>1371</v>
      </c>
      <c r="I156" s="5" t="s">
        <v>362</v>
      </c>
      <c r="J156" s="5" t="s">
        <v>505</v>
      </c>
      <c r="K156" s="5" t="s">
        <v>392</v>
      </c>
      <c r="L156" s="5" t="s">
        <v>393</v>
      </c>
      <c r="M156" s="5" t="s">
        <v>506</v>
      </c>
    </row>
    <row r="157" spans="1:13" ht="57" customHeight="1" x14ac:dyDescent="0.2">
      <c r="A157" s="5" t="s">
        <v>1372</v>
      </c>
      <c r="B157" s="5" t="s">
        <v>420</v>
      </c>
      <c r="C157" s="5" t="s">
        <v>1373</v>
      </c>
      <c r="D157" s="5" t="s">
        <v>1374</v>
      </c>
      <c r="E157" s="5" t="s">
        <v>359</v>
      </c>
      <c r="F157" s="5" t="s">
        <v>1350</v>
      </c>
      <c r="G157" s="5" t="s">
        <v>1375</v>
      </c>
      <c r="H157" s="5" t="s">
        <v>1376</v>
      </c>
      <c r="I157" s="5" t="s">
        <v>390</v>
      </c>
      <c r="J157" s="5" t="s">
        <v>425</v>
      </c>
      <c r="K157" s="5" t="s">
        <v>392</v>
      </c>
      <c r="L157" s="5" t="s">
        <v>393</v>
      </c>
      <c r="M157" s="5" t="s">
        <v>426</v>
      </c>
    </row>
    <row r="158" spans="1:13" ht="72" customHeight="1" x14ac:dyDescent="0.2">
      <c r="A158" s="5" t="s">
        <v>1377</v>
      </c>
      <c r="B158" s="5" t="s">
        <v>1378</v>
      </c>
      <c r="C158" s="5" t="s">
        <v>1379</v>
      </c>
      <c r="D158" s="5" t="s">
        <v>1380</v>
      </c>
      <c r="E158" s="5" t="s">
        <v>359</v>
      </c>
      <c r="F158" s="5" t="s">
        <v>1350</v>
      </c>
      <c r="G158" s="5" t="s">
        <v>1381</v>
      </c>
      <c r="H158" s="5" t="s">
        <v>1382</v>
      </c>
      <c r="I158" s="5" t="s">
        <v>362</v>
      </c>
      <c r="J158" s="5" t="s">
        <v>1383</v>
      </c>
      <c r="K158" s="5" t="s">
        <v>514</v>
      </c>
      <c r="L158" s="5" t="s">
        <v>515</v>
      </c>
      <c r="M158" s="5" t="s">
        <v>366</v>
      </c>
    </row>
    <row r="159" spans="1:13" ht="57" customHeight="1" x14ac:dyDescent="0.2">
      <c r="A159" s="5" t="s">
        <v>1384</v>
      </c>
      <c r="B159" s="5" t="s">
        <v>1385</v>
      </c>
      <c r="C159" s="5" t="s">
        <v>1386</v>
      </c>
      <c r="D159" s="5" t="s">
        <v>1387</v>
      </c>
      <c r="E159" s="5" t="s">
        <v>359</v>
      </c>
      <c r="F159" s="5" t="s">
        <v>1350</v>
      </c>
      <c r="G159" s="5" t="s">
        <v>1388</v>
      </c>
      <c r="H159" s="5" t="s">
        <v>1389</v>
      </c>
      <c r="I159" s="5" t="s">
        <v>362</v>
      </c>
      <c r="J159" s="5" t="s">
        <v>1390</v>
      </c>
      <c r="K159" s="5" t="s">
        <v>402</v>
      </c>
      <c r="L159" s="5" t="s">
        <v>1391</v>
      </c>
      <c r="M159" s="5" t="s">
        <v>366</v>
      </c>
    </row>
    <row r="160" spans="1:13" ht="57" customHeight="1" x14ac:dyDescent="0.2">
      <c r="A160" s="5" t="s">
        <v>1392</v>
      </c>
      <c r="B160" s="5" t="s">
        <v>966</v>
      </c>
      <c r="C160" s="5" t="s">
        <v>1393</v>
      </c>
      <c r="D160" s="5" t="s">
        <v>1394</v>
      </c>
      <c r="E160" s="5" t="s">
        <v>359</v>
      </c>
      <c r="F160" s="5" t="s">
        <v>1350</v>
      </c>
      <c r="G160" s="5" t="s">
        <v>1395</v>
      </c>
      <c r="H160" s="5" t="s">
        <v>1396</v>
      </c>
      <c r="I160" s="5" t="s">
        <v>1397</v>
      </c>
      <c r="J160" s="5" t="s">
        <v>971</v>
      </c>
      <c r="K160" s="5" t="s">
        <v>392</v>
      </c>
      <c r="L160" s="5" t="s">
        <v>393</v>
      </c>
      <c r="M160" s="5" t="s">
        <v>972</v>
      </c>
    </row>
    <row r="161" spans="1:13" ht="57" customHeight="1" x14ac:dyDescent="0.2">
      <c r="A161" s="5" t="s">
        <v>1398</v>
      </c>
      <c r="B161" s="5" t="s">
        <v>1399</v>
      </c>
      <c r="C161" s="5" t="s">
        <v>1400</v>
      </c>
      <c r="D161" s="5" t="s">
        <v>1401</v>
      </c>
      <c r="E161" s="5" t="s">
        <v>359</v>
      </c>
      <c r="F161" s="5" t="s">
        <v>1350</v>
      </c>
      <c r="G161" s="5" t="s">
        <v>1402</v>
      </c>
      <c r="H161" s="5" t="s">
        <v>1403</v>
      </c>
      <c r="I161" s="5" t="s">
        <v>1404</v>
      </c>
      <c r="J161" s="5" t="s">
        <v>1405</v>
      </c>
      <c r="K161" s="5" t="s">
        <v>392</v>
      </c>
      <c r="L161" s="5" t="s">
        <v>393</v>
      </c>
      <c r="M161" s="5" t="s">
        <v>1406</v>
      </c>
    </row>
    <row r="162" spans="1:13" ht="72" customHeight="1" x14ac:dyDescent="0.2">
      <c r="A162" s="5" t="s">
        <v>1407</v>
      </c>
      <c r="B162" s="5" t="s">
        <v>1408</v>
      </c>
      <c r="C162" s="5" t="s">
        <v>1409</v>
      </c>
      <c r="D162" s="5" t="s">
        <v>1410</v>
      </c>
      <c r="E162" s="5" t="s">
        <v>359</v>
      </c>
      <c r="F162" s="5" t="s">
        <v>1350</v>
      </c>
      <c r="G162" s="5" t="s">
        <v>1411</v>
      </c>
      <c r="H162" s="5" t="s">
        <v>1412</v>
      </c>
      <c r="I162" s="5" t="s">
        <v>362</v>
      </c>
      <c r="J162" s="5" t="s">
        <v>1413</v>
      </c>
      <c r="K162" s="5" t="s">
        <v>364</v>
      </c>
      <c r="L162" s="5" t="s">
        <v>1414</v>
      </c>
      <c r="M162" s="5" t="s">
        <v>366</v>
      </c>
    </row>
    <row r="163" spans="1:13" ht="72" customHeight="1" x14ac:dyDescent="0.2">
      <c r="A163" s="5" t="s">
        <v>1415</v>
      </c>
      <c r="B163" s="5" t="s">
        <v>1416</v>
      </c>
      <c r="C163" s="5" t="s">
        <v>1417</v>
      </c>
      <c r="D163" s="5" t="s">
        <v>1418</v>
      </c>
      <c r="E163" s="5" t="s">
        <v>359</v>
      </c>
      <c r="F163" s="5" t="s">
        <v>1350</v>
      </c>
      <c r="G163" s="5" t="s">
        <v>1419</v>
      </c>
      <c r="H163" s="5" t="s">
        <v>1420</v>
      </c>
      <c r="I163" s="5" t="s">
        <v>362</v>
      </c>
      <c r="J163" s="5" t="s">
        <v>1421</v>
      </c>
      <c r="K163" s="5" t="s">
        <v>364</v>
      </c>
      <c r="L163" s="5" t="s">
        <v>1422</v>
      </c>
      <c r="M163" s="5" t="s">
        <v>366</v>
      </c>
    </row>
    <row r="164" spans="1:13" ht="72" customHeight="1" x14ac:dyDescent="0.2">
      <c r="A164" s="5" t="s">
        <v>1423</v>
      </c>
      <c r="B164" s="5" t="s">
        <v>1424</v>
      </c>
      <c r="C164" s="5" t="s">
        <v>1425</v>
      </c>
      <c r="D164" s="5" t="s">
        <v>1426</v>
      </c>
      <c r="E164" s="5" t="s">
        <v>359</v>
      </c>
      <c r="F164" s="5" t="s">
        <v>1350</v>
      </c>
      <c r="G164" s="5" t="s">
        <v>1427</v>
      </c>
      <c r="H164" s="5" t="s">
        <v>1428</v>
      </c>
      <c r="I164" s="5" t="s">
        <v>390</v>
      </c>
      <c r="J164" s="5" t="s">
        <v>1429</v>
      </c>
      <c r="K164" s="5" t="s">
        <v>364</v>
      </c>
      <c r="L164" s="5" t="s">
        <v>1430</v>
      </c>
      <c r="M164" s="5" t="s">
        <v>366</v>
      </c>
    </row>
    <row r="165" spans="1:13" ht="87" customHeight="1" x14ac:dyDescent="0.2">
      <c r="A165" s="5" t="s">
        <v>1431</v>
      </c>
      <c r="B165" s="5" t="s">
        <v>1432</v>
      </c>
      <c r="C165" s="5" t="s">
        <v>1433</v>
      </c>
      <c r="D165" s="5" t="s">
        <v>1434</v>
      </c>
      <c r="E165" s="5" t="s">
        <v>359</v>
      </c>
      <c r="F165" s="5" t="s">
        <v>1350</v>
      </c>
      <c r="G165" s="5" t="s">
        <v>1435</v>
      </c>
      <c r="H165" s="5" t="s">
        <v>1436</v>
      </c>
      <c r="I165" s="5" t="s">
        <v>362</v>
      </c>
      <c r="J165" s="5" t="s">
        <v>1437</v>
      </c>
      <c r="K165" s="5" t="s">
        <v>392</v>
      </c>
      <c r="L165" s="5" t="s">
        <v>393</v>
      </c>
      <c r="M165" s="5" t="s">
        <v>1438</v>
      </c>
    </row>
    <row r="166" spans="1:13" ht="87" customHeight="1" x14ac:dyDescent="0.2">
      <c r="A166" s="5" t="s">
        <v>1439</v>
      </c>
      <c r="B166" s="5" t="s">
        <v>1440</v>
      </c>
      <c r="C166" s="5" t="s">
        <v>1441</v>
      </c>
      <c r="D166" s="5" t="s">
        <v>1442</v>
      </c>
      <c r="E166" s="5" t="s">
        <v>359</v>
      </c>
      <c r="F166" s="5" t="s">
        <v>1350</v>
      </c>
      <c r="G166" s="5" t="s">
        <v>1443</v>
      </c>
      <c r="H166" s="5" t="s">
        <v>1444</v>
      </c>
      <c r="I166" s="5" t="s">
        <v>362</v>
      </c>
      <c r="J166" s="5" t="s">
        <v>1445</v>
      </c>
      <c r="K166" s="5" t="s">
        <v>402</v>
      </c>
      <c r="L166" s="5" t="s">
        <v>1446</v>
      </c>
      <c r="M166" s="5" t="s">
        <v>366</v>
      </c>
    </row>
    <row r="167" spans="1:13" ht="57" customHeight="1" x14ac:dyDescent="0.2">
      <c r="A167" s="5" t="s">
        <v>1447</v>
      </c>
      <c r="B167" s="5" t="s">
        <v>1448</v>
      </c>
      <c r="C167" s="5" t="s">
        <v>1449</v>
      </c>
      <c r="D167" s="5" t="s">
        <v>1450</v>
      </c>
      <c r="E167" s="5" t="s">
        <v>359</v>
      </c>
      <c r="F167" s="5" t="s">
        <v>1350</v>
      </c>
      <c r="G167" s="5" t="s">
        <v>1451</v>
      </c>
      <c r="H167" s="5" t="s">
        <v>1452</v>
      </c>
      <c r="I167" s="5" t="s">
        <v>390</v>
      </c>
      <c r="J167" s="5" t="s">
        <v>1453</v>
      </c>
      <c r="K167" s="5" t="s">
        <v>392</v>
      </c>
      <c r="L167" s="5" t="s">
        <v>393</v>
      </c>
      <c r="M167" s="5" t="s">
        <v>1454</v>
      </c>
    </row>
    <row r="168" spans="1:13" ht="87" customHeight="1" x14ac:dyDescent="0.2">
      <c r="A168" s="5" t="s">
        <v>1455</v>
      </c>
      <c r="B168" s="5" t="s">
        <v>1456</v>
      </c>
      <c r="C168" s="5" t="s">
        <v>1457</v>
      </c>
      <c r="D168" s="5" t="s">
        <v>1458</v>
      </c>
      <c r="E168" s="5" t="s">
        <v>347</v>
      </c>
      <c r="F168" s="5" t="s">
        <v>1459</v>
      </c>
      <c r="G168" s="5"/>
      <c r="H168" s="5" t="s">
        <v>349</v>
      </c>
      <c r="I168" s="5" t="s">
        <v>350</v>
      </c>
      <c r="J168" s="5" t="s">
        <v>351</v>
      </c>
      <c r="K168" s="5" t="s">
        <v>352</v>
      </c>
      <c r="L168" s="5" t="s">
        <v>353</v>
      </c>
      <c r="M168" s="5" t="s">
        <v>1460</v>
      </c>
    </row>
    <row r="169" spans="1:13" ht="57" customHeight="1" x14ac:dyDescent="0.2">
      <c r="A169" s="5" t="s">
        <v>1461</v>
      </c>
      <c r="B169" s="5" t="s">
        <v>356</v>
      </c>
      <c r="C169" s="5" t="s">
        <v>1462</v>
      </c>
      <c r="D169" s="5" t="s">
        <v>1463</v>
      </c>
      <c r="E169" s="5" t="s">
        <v>359</v>
      </c>
      <c r="F169" s="5" t="s">
        <v>1459</v>
      </c>
      <c r="G169" s="5" t="s">
        <v>1464</v>
      </c>
      <c r="H169" s="5" t="s">
        <v>1465</v>
      </c>
      <c r="I169" s="5" t="s">
        <v>362</v>
      </c>
      <c r="J169" s="5" t="s">
        <v>363</v>
      </c>
      <c r="K169" s="5" t="s">
        <v>364</v>
      </c>
      <c r="L169" s="5" t="s">
        <v>365</v>
      </c>
      <c r="M169" s="5" t="s">
        <v>366</v>
      </c>
    </row>
    <row r="170" spans="1:13" ht="57" customHeight="1" x14ac:dyDescent="0.2">
      <c r="A170" s="5" t="s">
        <v>1466</v>
      </c>
      <c r="B170" s="5" t="s">
        <v>368</v>
      </c>
      <c r="C170" s="5" t="s">
        <v>1467</v>
      </c>
      <c r="D170" s="5" t="s">
        <v>1468</v>
      </c>
      <c r="E170" s="5" t="s">
        <v>359</v>
      </c>
      <c r="F170" s="5" t="s">
        <v>1459</v>
      </c>
      <c r="G170" s="5" t="s">
        <v>1469</v>
      </c>
      <c r="H170" s="5" t="s">
        <v>1470</v>
      </c>
      <c r="I170" s="5" t="s">
        <v>362</v>
      </c>
      <c r="J170" s="5" t="s">
        <v>373</v>
      </c>
      <c r="K170" s="5" t="s">
        <v>364</v>
      </c>
      <c r="L170" s="5" t="s">
        <v>374</v>
      </c>
      <c r="M170" s="5" t="s">
        <v>366</v>
      </c>
    </row>
    <row r="171" spans="1:13" ht="57" customHeight="1" x14ac:dyDescent="0.2">
      <c r="A171" s="5" t="s">
        <v>1471</v>
      </c>
      <c r="B171" s="5" t="s">
        <v>376</v>
      </c>
      <c r="C171" s="5" t="s">
        <v>1472</v>
      </c>
      <c r="D171" s="5" t="s">
        <v>1473</v>
      </c>
      <c r="E171" s="5" t="s">
        <v>359</v>
      </c>
      <c r="F171" s="5" t="s">
        <v>1459</v>
      </c>
      <c r="G171" s="5" t="s">
        <v>1474</v>
      </c>
      <c r="H171" s="5" t="s">
        <v>1475</v>
      </c>
      <c r="I171" s="5" t="s">
        <v>362</v>
      </c>
      <c r="J171" s="5" t="s">
        <v>381</v>
      </c>
      <c r="K171" s="5" t="s">
        <v>382</v>
      </c>
      <c r="L171" s="5" t="s">
        <v>383</v>
      </c>
      <c r="M171" s="5" t="s">
        <v>366</v>
      </c>
    </row>
    <row r="172" spans="1:13" ht="57" customHeight="1" x14ac:dyDescent="0.2">
      <c r="A172" s="5" t="s">
        <v>1476</v>
      </c>
      <c r="B172" s="5" t="s">
        <v>818</v>
      </c>
      <c r="C172" s="5" t="s">
        <v>1477</v>
      </c>
      <c r="D172" s="5" t="s">
        <v>1478</v>
      </c>
      <c r="E172" s="5" t="s">
        <v>359</v>
      </c>
      <c r="F172" s="5" t="s">
        <v>1459</v>
      </c>
      <c r="G172" s="5" t="s">
        <v>1479</v>
      </c>
      <c r="H172" s="5" t="s">
        <v>1480</v>
      </c>
      <c r="I172" s="5" t="s">
        <v>362</v>
      </c>
      <c r="J172" s="5" t="s">
        <v>823</v>
      </c>
      <c r="K172" s="5" t="s">
        <v>392</v>
      </c>
      <c r="L172" s="5" t="s">
        <v>393</v>
      </c>
      <c r="M172" s="5" t="s">
        <v>506</v>
      </c>
    </row>
    <row r="173" spans="1:13" ht="57" customHeight="1" x14ac:dyDescent="0.2">
      <c r="A173" s="5" t="s">
        <v>1481</v>
      </c>
      <c r="B173" s="5" t="s">
        <v>818</v>
      </c>
      <c r="C173" s="5" t="s">
        <v>1482</v>
      </c>
      <c r="D173" s="5" t="s">
        <v>1483</v>
      </c>
      <c r="E173" s="5" t="s">
        <v>359</v>
      </c>
      <c r="F173" s="5" t="s">
        <v>1459</v>
      </c>
      <c r="G173" s="5" t="s">
        <v>1484</v>
      </c>
      <c r="H173" s="5" t="s">
        <v>1485</v>
      </c>
      <c r="I173" s="5" t="s">
        <v>362</v>
      </c>
      <c r="J173" s="5" t="s">
        <v>823</v>
      </c>
      <c r="K173" s="5" t="s">
        <v>392</v>
      </c>
      <c r="L173" s="5" t="s">
        <v>393</v>
      </c>
      <c r="M173" s="5" t="s">
        <v>506</v>
      </c>
    </row>
    <row r="174" spans="1:13" ht="57" customHeight="1" x14ac:dyDescent="0.2">
      <c r="A174" s="5" t="s">
        <v>1486</v>
      </c>
      <c r="B174" s="5" t="s">
        <v>1487</v>
      </c>
      <c r="C174" s="5" t="s">
        <v>1488</v>
      </c>
      <c r="D174" s="5" t="s">
        <v>1489</v>
      </c>
      <c r="E174" s="5" t="s">
        <v>359</v>
      </c>
      <c r="F174" s="5" t="s">
        <v>1459</v>
      </c>
      <c r="G174" s="5" t="s">
        <v>1490</v>
      </c>
      <c r="H174" s="5" t="s">
        <v>1491</v>
      </c>
      <c r="I174" s="5" t="s">
        <v>362</v>
      </c>
      <c r="J174" s="5" t="s">
        <v>1492</v>
      </c>
      <c r="K174" s="5" t="s">
        <v>402</v>
      </c>
      <c r="L174" s="5" t="s">
        <v>1493</v>
      </c>
      <c r="M174" s="5" t="s">
        <v>366</v>
      </c>
    </row>
    <row r="175" spans="1:13" ht="72" customHeight="1" x14ac:dyDescent="0.2">
      <c r="A175" s="5" t="s">
        <v>1494</v>
      </c>
      <c r="B175" s="5" t="s">
        <v>1495</v>
      </c>
      <c r="C175" s="5" t="s">
        <v>1496</v>
      </c>
      <c r="D175" s="5" t="s">
        <v>1497</v>
      </c>
      <c r="E175" s="5" t="s">
        <v>359</v>
      </c>
      <c r="F175" s="5" t="s">
        <v>1459</v>
      </c>
      <c r="G175" s="5" t="s">
        <v>1498</v>
      </c>
      <c r="H175" s="5" t="s">
        <v>1499</v>
      </c>
      <c r="I175" s="5" t="s">
        <v>362</v>
      </c>
      <c r="J175" s="5" t="s">
        <v>1500</v>
      </c>
      <c r="K175" s="5" t="s">
        <v>364</v>
      </c>
      <c r="L175" s="5" t="s">
        <v>1501</v>
      </c>
      <c r="M175" s="5" t="s">
        <v>366</v>
      </c>
    </row>
    <row r="176" spans="1:13" ht="57" customHeight="1" x14ac:dyDescent="0.2">
      <c r="A176" s="5" t="s">
        <v>1502</v>
      </c>
      <c r="B176" s="5" t="s">
        <v>1503</v>
      </c>
      <c r="C176" s="5" t="s">
        <v>1504</v>
      </c>
      <c r="D176" s="5" t="s">
        <v>1505</v>
      </c>
      <c r="E176" s="5" t="s">
        <v>359</v>
      </c>
      <c r="F176" s="5" t="s">
        <v>1459</v>
      </c>
      <c r="G176" s="5" t="s">
        <v>1506</v>
      </c>
      <c r="H176" s="5" t="s">
        <v>1507</v>
      </c>
      <c r="I176" s="5" t="s">
        <v>362</v>
      </c>
      <c r="J176" s="5" t="s">
        <v>1508</v>
      </c>
      <c r="K176" s="5" t="s">
        <v>364</v>
      </c>
      <c r="L176" s="5" t="s">
        <v>1509</v>
      </c>
      <c r="M176" s="5" t="s">
        <v>366</v>
      </c>
    </row>
    <row r="177" spans="1:13" ht="57" customHeight="1" x14ac:dyDescent="0.2">
      <c r="A177" s="5" t="s">
        <v>1510</v>
      </c>
      <c r="B177" s="5" t="s">
        <v>1511</v>
      </c>
      <c r="C177" s="5" t="s">
        <v>1512</v>
      </c>
      <c r="D177" s="5" t="s">
        <v>1513</v>
      </c>
      <c r="E177" s="5" t="s">
        <v>359</v>
      </c>
      <c r="F177" s="5" t="s">
        <v>1459</v>
      </c>
      <c r="G177" s="5" t="s">
        <v>1514</v>
      </c>
      <c r="H177" s="5" t="s">
        <v>1515</v>
      </c>
      <c r="I177" s="5" t="s">
        <v>362</v>
      </c>
      <c r="J177" s="5" t="s">
        <v>1516</v>
      </c>
      <c r="K177" s="5" t="s">
        <v>402</v>
      </c>
      <c r="L177" s="5" t="s">
        <v>1517</v>
      </c>
      <c r="M177" s="5" t="s">
        <v>366</v>
      </c>
    </row>
    <row r="178" spans="1:13" ht="57" customHeight="1" x14ac:dyDescent="0.2">
      <c r="A178" s="5" t="s">
        <v>1518</v>
      </c>
      <c r="B178" s="5" t="s">
        <v>818</v>
      </c>
      <c r="C178" s="5" t="s">
        <v>1519</v>
      </c>
      <c r="D178" s="5" t="s">
        <v>1520</v>
      </c>
      <c r="E178" s="5" t="s">
        <v>359</v>
      </c>
      <c r="F178" s="5" t="s">
        <v>1459</v>
      </c>
      <c r="G178" s="5" t="s">
        <v>1521</v>
      </c>
      <c r="H178" s="5" t="s">
        <v>1522</v>
      </c>
      <c r="I178" s="5" t="s">
        <v>390</v>
      </c>
      <c r="J178" s="5" t="s">
        <v>823</v>
      </c>
      <c r="K178" s="5" t="s">
        <v>392</v>
      </c>
      <c r="L178" s="5" t="s">
        <v>393</v>
      </c>
      <c r="M178" s="5" t="s">
        <v>506</v>
      </c>
    </row>
    <row r="179" spans="1:13" ht="57" customHeight="1" x14ac:dyDescent="0.2">
      <c r="A179" s="5" t="s">
        <v>1523</v>
      </c>
      <c r="B179" s="5" t="s">
        <v>1524</v>
      </c>
      <c r="C179" s="5" t="s">
        <v>1525</v>
      </c>
      <c r="D179" s="5" t="s">
        <v>1526</v>
      </c>
      <c r="E179" s="5" t="s">
        <v>359</v>
      </c>
      <c r="F179" s="5" t="s">
        <v>1459</v>
      </c>
      <c r="G179" s="5" t="s">
        <v>1527</v>
      </c>
      <c r="H179" s="5" t="s">
        <v>1528</v>
      </c>
      <c r="I179" s="5" t="s">
        <v>390</v>
      </c>
      <c r="J179" s="5" t="s">
        <v>1529</v>
      </c>
      <c r="K179" s="5" t="s">
        <v>392</v>
      </c>
      <c r="L179" s="5" t="s">
        <v>393</v>
      </c>
      <c r="M179" s="5" t="s">
        <v>1530</v>
      </c>
    </row>
    <row r="180" spans="1:13" ht="87" customHeight="1" x14ac:dyDescent="0.2">
      <c r="A180" s="5" t="s">
        <v>1531</v>
      </c>
      <c r="B180" s="5" t="s">
        <v>1532</v>
      </c>
      <c r="C180" s="5" t="s">
        <v>1533</v>
      </c>
      <c r="D180" s="5" t="s">
        <v>1534</v>
      </c>
      <c r="E180" s="5" t="s">
        <v>347</v>
      </c>
      <c r="F180" s="5" t="s">
        <v>1535</v>
      </c>
      <c r="G180" s="5"/>
      <c r="H180" s="5" t="s">
        <v>349</v>
      </c>
      <c r="I180" s="5" t="s">
        <v>350</v>
      </c>
      <c r="J180" s="5" t="s">
        <v>351</v>
      </c>
      <c r="K180" s="5" t="s">
        <v>352</v>
      </c>
      <c r="L180" s="5" t="s">
        <v>353</v>
      </c>
      <c r="M180" s="5" t="s">
        <v>1536</v>
      </c>
    </row>
    <row r="181" spans="1:13" ht="57" customHeight="1" x14ac:dyDescent="0.2">
      <c r="A181" s="5" t="s">
        <v>1537</v>
      </c>
      <c r="B181" s="5" t="s">
        <v>356</v>
      </c>
      <c r="C181" s="5" t="s">
        <v>1538</v>
      </c>
      <c r="D181" s="5" t="s">
        <v>1539</v>
      </c>
      <c r="E181" s="5" t="s">
        <v>359</v>
      </c>
      <c r="F181" s="5" t="s">
        <v>1535</v>
      </c>
      <c r="G181" s="5" t="s">
        <v>1540</v>
      </c>
      <c r="H181" s="5" t="s">
        <v>1541</v>
      </c>
      <c r="I181" s="5" t="s">
        <v>362</v>
      </c>
      <c r="J181" s="5" t="s">
        <v>363</v>
      </c>
      <c r="K181" s="5" t="s">
        <v>364</v>
      </c>
      <c r="L181" s="5" t="s">
        <v>365</v>
      </c>
      <c r="M181" s="5" t="s">
        <v>366</v>
      </c>
    </row>
    <row r="182" spans="1:13" ht="57" customHeight="1" x14ac:dyDescent="0.2">
      <c r="A182" s="5" t="s">
        <v>1542</v>
      </c>
      <c r="B182" s="5" t="s">
        <v>368</v>
      </c>
      <c r="C182" s="5" t="s">
        <v>1543</v>
      </c>
      <c r="D182" s="5" t="s">
        <v>1544</v>
      </c>
      <c r="E182" s="5" t="s">
        <v>359</v>
      </c>
      <c r="F182" s="5" t="s">
        <v>1535</v>
      </c>
      <c r="G182" s="5" t="s">
        <v>1545</v>
      </c>
      <c r="H182" s="5" t="s">
        <v>1546</v>
      </c>
      <c r="I182" s="5" t="s">
        <v>362</v>
      </c>
      <c r="J182" s="5" t="s">
        <v>373</v>
      </c>
      <c r="K182" s="5" t="s">
        <v>364</v>
      </c>
      <c r="L182" s="5" t="s">
        <v>374</v>
      </c>
      <c r="M182" s="5" t="s">
        <v>366</v>
      </c>
    </row>
    <row r="183" spans="1:13" ht="57" customHeight="1" x14ac:dyDescent="0.2">
      <c r="A183" s="5" t="s">
        <v>1547</v>
      </c>
      <c r="B183" s="5" t="s">
        <v>376</v>
      </c>
      <c r="C183" s="5" t="s">
        <v>1548</v>
      </c>
      <c r="D183" s="5" t="s">
        <v>1549</v>
      </c>
      <c r="E183" s="5" t="s">
        <v>359</v>
      </c>
      <c r="F183" s="5" t="s">
        <v>1535</v>
      </c>
      <c r="G183" s="5" t="s">
        <v>1550</v>
      </c>
      <c r="H183" s="5" t="s">
        <v>1551</v>
      </c>
      <c r="I183" s="5" t="s">
        <v>362</v>
      </c>
      <c r="J183" s="5" t="s">
        <v>381</v>
      </c>
      <c r="K183" s="5" t="s">
        <v>382</v>
      </c>
      <c r="L183" s="5" t="s">
        <v>383</v>
      </c>
      <c r="M183" s="5" t="s">
        <v>366</v>
      </c>
    </row>
    <row r="184" spans="1:13" ht="57" customHeight="1" x14ac:dyDescent="0.2">
      <c r="A184" s="5" t="s">
        <v>1552</v>
      </c>
      <c r="B184" s="5" t="s">
        <v>818</v>
      </c>
      <c r="C184" s="5" t="s">
        <v>1553</v>
      </c>
      <c r="D184" s="5" t="s">
        <v>1554</v>
      </c>
      <c r="E184" s="5" t="s">
        <v>359</v>
      </c>
      <c r="F184" s="5" t="s">
        <v>1535</v>
      </c>
      <c r="G184" s="5" t="s">
        <v>1555</v>
      </c>
      <c r="H184" s="5" t="s">
        <v>1556</v>
      </c>
      <c r="I184" s="5" t="s">
        <v>362</v>
      </c>
      <c r="J184" s="5" t="s">
        <v>823</v>
      </c>
      <c r="K184" s="5" t="s">
        <v>392</v>
      </c>
      <c r="L184" s="5" t="s">
        <v>393</v>
      </c>
      <c r="M184" s="5" t="s">
        <v>506</v>
      </c>
    </row>
    <row r="185" spans="1:13" ht="57" customHeight="1" x14ac:dyDescent="0.2">
      <c r="A185" s="5" t="s">
        <v>1557</v>
      </c>
      <c r="B185" s="5" t="s">
        <v>1558</v>
      </c>
      <c r="C185" s="5" t="s">
        <v>1559</v>
      </c>
      <c r="D185" s="5" t="s">
        <v>1560</v>
      </c>
      <c r="E185" s="5" t="s">
        <v>359</v>
      </c>
      <c r="F185" s="5" t="s">
        <v>1535</v>
      </c>
      <c r="G185" s="5" t="s">
        <v>1561</v>
      </c>
      <c r="H185" s="5" t="s">
        <v>1562</v>
      </c>
      <c r="I185" s="5" t="s">
        <v>390</v>
      </c>
      <c r="J185" s="5" t="s">
        <v>1563</v>
      </c>
      <c r="K185" s="5" t="s">
        <v>392</v>
      </c>
      <c r="L185" s="5" t="s">
        <v>393</v>
      </c>
      <c r="M185" s="5" t="s">
        <v>573</v>
      </c>
    </row>
    <row r="186" spans="1:13" ht="57" customHeight="1" x14ac:dyDescent="0.2">
      <c r="A186" s="5" t="s">
        <v>1564</v>
      </c>
      <c r="B186" s="5" t="s">
        <v>412</v>
      </c>
      <c r="C186" s="5" t="s">
        <v>1565</v>
      </c>
      <c r="D186" s="5" t="s">
        <v>1566</v>
      </c>
      <c r="E186" s="5" t="s">
        <v>359</v>
      </c>
      <c r="F186" s="5" t="s">
        <v>1535</v>
      </c>
      <c r="G186" s="5" t="s">
        <v>1567</v>
      </c>
      <c r="H186" s="5" t="s">
        <v>1568</v>
      </c>
      <c r="I186" s="5" t="s">
        <v>362</v>
      </c>
      <c r="J186" s="5" t="s">
        <v>417</v>
      </c>
      <c r="K186" s="5" t="s">
        <v>392</v>
      </c>
      <c r="L186" s="5" t="s">
        <v>393</v>
      </c>
      <c r="M186" s="5" t="s">
        <v>418</v>
      </c>
    </row>
    <row r="187" spans="1:13" ht="57" customHeight="1" x14ac:dyDescent="0.2">
      <c r="A187" s="5" t="s">
        <v>1569</v>
      </c>
      <c r="B187" s="5" t="s">
        <v>1570</v>
      </c>
      <c r="C187" s="5" t="s">
        <v>1571</v>
      </c>
      <c r="D187" s="5" t="s">
        <v>1572</v>
      </c>
      <c r="E187" s="5" t="s">
        <v>359</v>
      </c>
      <c r="F187" s="5" t="s">
        <v>1535</v>
      </c>
      <c r="G187" s="5" t="s">
        <v>1573</v>
      </c>
      <c r="H187" s="5" t="s">
        <v>1574</v>
      </c>
      <c r="I187" s="5" t="s">
        <v>362</v>
      </c>
      <c r="J187" s="5" t="s">
        <v>1575</v>
      </c>
      <c r="K187" s="5" t="s">
        <v>402</v>
      </c>
      <c r="L187" s="5" t="s">
        <v>1576</v>
      </c>
      <c r="M187" s="5" t="s">
        <v>366</v>
      </c>
    </row>
    <row r="188" spans="1:13" ht="57" customHeight="1" x14ac:dyDescent="0.2">
      <c r="A188" s="5" t="s">
        <v>1577</v>
      </c>
      <c r="B188" s="5" t="s">
        <v>1578</v>
      </c>
      <c r="C188" s="5" t="s">
        <v>1579</v>
      </c>
      <c r="D188" s="5" t="s">
        <v>1580</v>
      </c>
      <c r="E188" s="5" t="s">
        <v>359</v>
      </c>
      <c r="F188" s="5" t="s">
        <v>1535</v>
      </c>
      <c r="G188" s="5" t="s">
        <v>1581</v>
      </c>
      <c r="H188" s="5" t="s">
        <v>1582</v>
      </c>
      <c r="I188" s="5" t="s">
        <v>362</v>
      </c>
      <c r="J188" s="5" t="s">
        <v>1583</v>
      </c>
      <c r="K188" s="5" t="s">
        <v>402</v>
      </c>
      <c r="L188" s="5" t="s">
        <v>1584</v>
      </c>
      <c r="M188" s="5" t="s">
        <v>366</v>
      </c>
    </row>
    <row r="189" spans="1:13" ht="57" customHeight="1" x14ac:dyDescent="0.2">
      <c r="A189" s="5" t="s">
        <v>1585</v>
      </c>
      <c r="B189" s="5" t="s">
        <v>1586</v>
      </c>
      <c r="C189" s="5" t="s">
        <v>1587</v>
      </c>
      <c r="D189" s="5" t="s">
        <v>1588</v>
      </c>
      <c r="E189" s="5" t="s">
        <v>359</v>
      </c>
      <c r="F189" s="5" t="s">
        <v>1535</v>
      </c>
      <c r="G189" s="5" t="s">
        <v>1589</v>
      </c>
      <c r="H189" s="5" t="s">
        <v>1590</v>
      </c>
      <c r="I189" s="5" t="s">
        <v>362</v>
      </c>
      <c r="J189" s="5" t="s">
        <v>1591</v>
      </c>
      <c r="K189" s="5" t="s">
        <v>364</v>
      </c>
      <c r="L189" s="5" t="s">
        <v>1592</v>
      </c>
      <c r="M189" s="5" t="s">
        <v>366</v>
      </c>
    </row>
    <row r="190" spans="1:13" ht="57" customHeight="1" x14ac:dyDescent="0.2">
      <c r="A190" s="5" t="s">
        <v>1593</v>
      </c>
      <c r="B190" s="5" t="s">
        <v>1594</v>
      </c>
      <c r="C190" s="5" t="s">
        <v>1595</v>
      </c>
      <c r="D190" s="5" t="s">
        <v>1596</v>
      </c>
      <c r="E190" s="5" t="s">
        <v>359</v>
      </c>
      <c r="F190" s="5" t="s">
        <v>1535</v>
      </c>
      <c r="G190" s="5" t="s">
        <v>1597</v>
      </c>
      <c r="H190" s="5" t="s">
        <v>1598</v>
      </c>
      <c r="I190" s="5" t="s">
        <v>362</v>
      </c>
      <c r="J190" s="5" t="s">
        <v>1599</v>
      </c>
      <c r="K190" s="5" t="s">
        <v>364</v>
      </c>
      <c r="L190" s="5" t="s">
        <v>1600</v>
      </c>
      <c r="M190" s="5" t="s">
        <v>366</v>
      </c>
    </row>
    <row r="191" spans="1:13" ht="57" customHeight="1" x14ac:dyDescent="0.2">
      <c r="A191" s="5" t="s">
        <v>1601</v>
      </c>
      <c r="B191" s="5" t="s">
        <v>1308</v>
      </c>
      <c r="C191" s="5" t="s">
        <v>1602</v>
      </c>
      <c r="D191" s="5" t="s">
        <v>1603</v>
      </c>
      <c r="E191" s="5" t="s">
        <v>359</v>
      </c>
      <c r="F191" s="5" t="s">
        <v>1535</v>
      </c>
      <c r="G191" s="5" t="s">
        <v>1604</v>
      </c>
      <c r="H191" s="5" t="s">
        <v>1605</v>
      </c>
      <c r="I191" s="5" t="s">
        <v>390</v>
      </c>
      <c r="J191" s="5" t="s">
        <v>1313</v>
      </c>
      <c r="K191" s="5" t="s">
        <v>571</v>
      </c>
      <c r="L191" s="5" t="s">
        <v>572</v>
      </c>
      <c r="M191" s="5" t="s">
        <v>426</v>
      </c>
    </row>
    <row r="192" spans="1:13" ht="57" customHeight="1" x14ac:dyDescent="0.2">
      <c r="A192" s="5" t="s">
        <v>1606</v>
      </c>
      <c r="B192" s="5" t="s">
        <v>1607</v>
      </c>
      <c r="C192" s="5" t="s">
        <v>1608</v>
      </c>
      <c r="D192" s="5" t="s">
        <v>1609</v>
      </c>
      <c r="E192" s="5" t="s">
        <v>359</v>
      </c>
      <c r="F192" s="5" t="s">
        <v>1535</v>
      </c>
      <c r="G192" s="5" t="s">
        <v>1610</v>
      </c>
      <c r="H192" s="5" t="s">
        <v>1611</v>
      </c>
      <c r="I192" s="5" t="s">
        <v>362</v>
      </c>
      <c r="J192" s="5" t="s">
        <v>1612</v>
      </c>
      <c r="K192" s="5" t="s">
        <v>364</v>
      </c>
      <c r="L192" s="5" t="s">
        <v>1613</v>
      </c>
      <c r="M192" s="5" t="s">
        <v>366</v>
      </c>
    </row>
    <row r="193" spans="1:13" ht="57" customHeight="1" x14ac:dyDescent="0.2">
      <c r="A193" s="5" t="s">
        <v>1614</v>
      </c>
      <c r="B193" s="5" t="s">
        <v>1524</v>
      </c>
      <c r="C193" s="5" t="s">
        <v>1615</v>
      </c>
      <c r="D193" s="5" t="s">
        <v>1616</v>
      </c>
      <c r="E193" s="5" t="s">
        <v>359</v>
      </c>
      <c r="F193" s="5" t="s">
        <v>1535</v>
      </c>
      <c r="G193" s="5" t="s">
        <v>1617</v>
      </c>
      <c r="H193" s="5" t="s">
        <v>1618</v>
      </c>
      <c r="I193" s="5" t="s">
        <v>390</v>
      </c>
      <c r="J193" s="5" t="s">
        <v>1529</v>
      </c>
      <c r="K193" s="5" t="s">
        <v>392</v>
      </c>
      <c r="L193" s="5" t="s">
        <v>393</v>
      </c>
      <c r="M193" s="5" t="s">
        <v>1530</v>
      </c>
    </row>
    <row r="194" spans="1:13" ht="87" customHeight="1" x14ac:dyDescent="0.2">
      <c r="A194" s="5" t="s">
        <v>1619</v>
      </c>
      <c r="B194" s="5" t="s">
        <v>1620</v>
      </c>
      <c r="C194" s="5" t="s">
        <v>1621</v>
      </c>
      <c r="D194" s="5" t="s">
        <v>1622</v>
      </c>
      <c r="E194" s="5" t="s">
        <v>347</v>
      </c>
      <c r="F194" s="5" t="s">
        <v>1623</v>
      </c>
      <c r="G194" s="5"/>
      <c r="H194" s="5" t="s">
        <v>349</v>
      </c>
      <c r="I194" s="5" t="s">
        <v>350</v>
      </c>
      <c r="J194" s="5" t="s">
        <v>351</v>
      </c>
      <c r="K194" s="5" t="s">
        <v>352</v>
      </c>
      <c r="L194" s="5" t="s">
        <v>353</v>
      </c>
      <c r="M194" s="5" t="s">
        <v>1624</v>
      </c>
    </row>
    <row r="195" spans="1:13" ht="57" customHeight="1" x14ac:dyDescent="0.2">
      <c r="A195" s="5" t="s">
        <v>1625</v>
      </c>
      <c r="B195" s="5" t="s">
        <v>356</v>
      </c>
      <c r="C195" s="5" t="s">
        <v>1626</v>
      </c>
      <c r="D195" s="5" t="s">
        <v>1627</v>
      </c>
      <c r="E195" s="5" t="s">
        <v>359</v>
      </c>
      <c r="F195" s="5" t="s">
        <v>1623</v>
      </c>
      <c r="G195" s="5" t="s">
        <v>1628</v>
      </c>
      <c r="H195" s="5" t="s">
        <v>1629</v>
      </c>
      <c r="I195" s="5" t="s">
        <v>362</v>
      </c>
      <c r="J195" s="5" t="s">
        <v>363</v>
      </c>
      <c r="K195" s="5" t="s">
        <v>364</v>
      </c>
      <c r="L195" s="5" t="s">
        <v>365</v>
      </c>
      <c r="M195" s="5" t="s">
        <v>366</v>
      </c>
    </row>
    <row r="196" spans="1:13" ht="57" customHeight="1" x14ac:dyDescent="0.2">
      <c r="A196" s="5" t="s">
        <v>1630</v>
      </c>
      <c r="B196" s="5" t="s">
        <v>368</v>
      </c>
      <c r="C196" s="5" t="s">
        <v>1631</v>
      </c>
      <c r="D196" s="5" t="s">
        <v>1632</v>
      </c>
      <c r="E196" s="5" t="s">
        <v>359</v>
      </c>
      <c r="F196" s="5" t="s">
        <v>1623</v>
      </c>
      <c r="G196" s="5" t="s">
        <v>1633</v>
      </c>
      <c r="H196" s="5" t="s">
        <v>1634</v>
      </c>
      <c r="I196" s="5" t="s">
        <v>362</v>
      </c>
      <c r="J196" s="5" t="s">
        <v>373</v>
      </c>
      <c r="K196" s="5" t="s">
        <v>364</v>
      </c>
      <c r="L196" s="5" t="s">
        <v>374</v>
      </c>
      <c r="M196" s="5" t="s">
        <v>366</v>
      </c>
    </row>
    <row r="197" spans="1:13" ht="57" customHeight="1" x14ac:dyDescent="0.2">
      <c r="A197" s="5" t="s">
        <v>1635</v>
      </c>
      <c r="B197" s="5" t="s">
        <v>376</v>
      </c>
      <c r="C197" s="5" t="s">
        <v>1636</v>
      </c>
      <c r="D197" s="5" t="s">
        <v>1637</v>
      </c>
      <c r="E197" s="5" t="s">
        <v>359</v>
      </c>
      <c r="F197" s="5" t="s">
        <v>1623</v>
      </c>
      <c r="G197" s="5" t="s">
        <v>1638</v>
      </c>
      <c r="H197" s="5" t="s">
        <v>1639</v>
      </c>
      <c r="I197" s="5" t="s">
        <v>362</v>
      </c>
      <c r="J197" s="5" t="s">
        <v>381</v>
      </c>
      <c r="K197" s="5" t="s">
        <v>382</v>
      </c>
      <c r="L197" s="5" t="s">
        <v>383</v>
      </c>
      <c r="M197" s="5" t="s">
        <v>366</v>
      </c>
    </row>
    <row r="198" spans="1:13" ht="57" customHeight="1" x14ac:dyDescent="0.2">
      <c r="A198" s="5" t="s">
        <v>1640</v>
      </c>
      <c r="B198" s="5" t="s">
        <v>595</v>
      </c>
      <c r="C198" s="5" t="s">
        <v>1641</v>
      </c>
      <c r="D198" s="5" t="s">
        <v>1642</v>
      </c>
      <c r="E198" s="5" t="s">
        <v>359</v>
      </c>
      <c r="F198" s="5" t="s">
        <v>1623</v>
      </c>
      <c r="G198" s="5" t="s">
        <v>1643</v>
      </c>
      <c r="H198" s="5" t="s">
        <v>1644</v>
      </c>
      <c r="I198" s="5" t="s">
        <v>362</v>
      </c>
      <c r="J198" s="5" t="s">
        <v>600</v>
      </c>
      <c r="K198" s="5" t="s">
        <v>392</v>
      </c>
      <c r="L198" s="5" t="s">
        <v>393</v>
      </c>
      <c r="M198" s="5" t="s">
        <v>601</v>
      </c>
    </row>
    <row r="199" spans="1:13" ht="57" customHeight="1" x14ac:dyDescent="0.2">
      <c r="A199" s="5" t="s">
        <v>1645</v>
      </c>
      <c r="B199" s="5" t="s">
        <v>1524</v>
      </c>
      <c r="C199" s="5" t="s">
        <v>1646</v>
      </c>
      <c r="D199" s="5" t="s">
        <v>1647</v>
      </c>
      <c r="E199" s="5" t="s">
        <v>359</v>
      </c>
      <c r="F199" s="5" t="s">
        <v>1623</v>
      </c>
      <c r="G199" s="5" t="s">
        <v>1648</v>
      </c>
      <c r="H199" s="5" t="s">
        <v>1649</v>
      </c>
      <c r="I199" s="5" t="s">
        <v>390</v>
      </c>
      <c r="J199" s="5" t="s">
        <v>1529</v>
      </c>
      <c r="K199" s="5" t="s">
        <v>392</v>
      </c>
      <c r="L199" s="5" t="s">
        <v>393</v>
      </c>
      <c r="M199" s="5" t="s">
        <v>1530</v>
      </c>
    </row>
    <row r="200" spans="1:13" ht="57" customHeight="1" x14ac:dyDescent="0.2">
      <c r="A200" s="5" t="s">
        <v>1650</v>
      </c>
      <c r="B200" s="5" t="s">
        <v>1651</v>
      </c>
      <c r="C200" s="5" t="s">
        <v>1652</v>
      </c>
      <c r="D200" s="5" t="s">
        <v>1653</v>
      </c>
      <c r="E200" s="5" t="s">
        <v>359</v>
      </c>
      <c r="F200" s="5" t="s">
        <v>1623</v>
      </c>
      <c r="G200" s="5" t="s">
        <v>1654</v>
      </c>
      <c r="H200" s="5" t="s">
        <v>1655</v>
      </c>
      <c r="I200" s="5" t="s">
        <v>362</v>
      </c>
      <c r="J200" s="5" t="s">
        <v>1656</v>
      </c>
      <c r="K200" s="5" t="s">
        <v>571</v>
      </c>
      <c r="L200" s="5" t="s">
        <v>572</v>
      </c>
      <c r="M200" s="5" t="s">
        <v>506</v>
      </c>
    </row>
    <row r="201" spans="1:13" ht="57" customHeight="1" x14ac:dyDescent="0.2">
      <c r="A201" s="5" t="s">
        <v>1657</v>
      </c>
      <c r="B201" s="5" t="s">
        <v>603</v>
      </c>
      <c r="C201" s="5" t="s">
        <v>1658</v>
      </c>
      <c r="D201" s="5" t="s">
        <v>1659</v>
      </c>
      <c r="E201" s="5" t="s">
        <v>359</v>
      </c>
      <c r="F201" s="5" t="s">
        <v>1623</v>
      </c>
      <c r="G201" s="5" t="s">
        <v>1660</v>
      </c>
      <c r="H201" s="5" t="s">
        <v>1661</v>
      </c>
      <c r="I201" s="5" t="s">
        <v>362</v>
      </c>
      <c r="J201" s="5" t="s">
        <v>608</v>
      </c>
      <c r="K201" s="5" t="s">
        <v>392</v>
      </c>
      <c r="L201" s="5" t="s">
        <v>393</v>
      </c>
      <c r="M201" s="5" t="s">
        <v>609</v>
      </c>
    </row>
    <row r="202" spans="1:13" ht="57" customHeight="1" x14ac:dyDescent="0.2">
      <c r="A202" s="5" t="s">
        <v>1662</v>
      </c>
      <c r="B202" s="5" t="s">
        <v>1663</v>
      </c>
      <c r="C202" s="5" t="s">
        <v>1664</v>
      </c>
      <c r="D202" s="5" t="s">
        <v>1665</v>
      </c>
      <c r="E202" s="5" t="s">
        <v>359</v>
      </c>
      <c r="F202" s="5" t="s">
        <v>1623</v>
      </c>
      <c r="G202" s="5" t="s">
        <v>1666</v>
      </c>
      <c r="H202" s="5" t="s">
        <v>1667</v>
      </c>
      <c r="I202" s="5" t="s">
        <v>362</v>
      </c>
      <c r="J202" s="5" t="s">
        <v>1668</v>
      </c>
      <c r="K202" s="5" t="s">
        <v>402</v>
      </c>
      <c r="L202" s="5" t="s">
        <v>1669</v>
      </c>
      <c r="M202" s="5" t="s">
        <v>366</v>
      </c>
    </row>
    <row r="203" spans="1:13" ht="57" customHeight="1" x14ac:dyDescent="0.2">
      <c r="A203" s="5" t="s">
        <v>1670</v>
      </c>
      <c r="B203" s="5" t="s">
        <v>1671</v>
      </c>
      <c r="C203" s="5" t="s">
        <v>1672</v>
      </c>
      <c r="D203" s="5" t="s">
        <v>1673</v>
      </c>
      <c r="E203" s="5" t="s">
        <v>359</v>
      </c>
      <c r="F203" s="5" t="s">
        <v>1623</v>
      </c>
      <c r="G203" s="5" t="s">
        <v>1674</v>
      </c>
      <c r="H203" s="5" t="s">
        <v>1675</v>
      </c>
      <c r="I203" s="5" t="s">
        <v>362</v>
      </c>
      <c r="J203" s="5" t="s">
        <v>1676</v>
      </c>
      <c r="K203" s="5" t="s">
        <v>402</v>
      </c>
      <c r="L203" s="5" t="s">
        <v>1677</v>
      </c>
      <c r="M203" s="5" t="s">
        <v>366</v>
      </c>
    </row>
    <row r="204" spans="1:13" ht="57" customHeight="1" x14ac:dyDescent="0.2">
      <c r="A204" s="5" t="s">
        <v>1678</v>
      </c>
      <c r="B204" s="5" t="s">
        <v>1679</v>
      </c>
      <c r="C204" s="5" t="s">
        <v>1680</v>
      </c>
      <c r="D204" s="5" t="s">
        <v>1681</v>
      </c>
      <c r="E204" s="5" t="s">
        <v>359</v>
      </c>
      <c r="F204" s="5" t="s">
        <v>1623</v>
      </c>
      <c r="G204" s="5" t="s">
        <v>1682</v>
      </c>
      <c r="H204" s="5" t="s">
        <v>1683</v>
      </c>
      <c r="I204" s="5" t="s">
        <v>362</v>
      </c>
      <c r="J204" s="5" t="s">
        <v>1684</v>
      </c>
      <c r="K204" s="5" t="s">
        <v>402</v>
      </c>
      <c r="L204" s="5" t="s">
        <v>1685</v>
      </c>
      <c r="M204" s="5" t="s">
        <v>366</v>
      </c>
    </row>
    <row r="205" spans="1:13" ht="57" customHeight="1" x14ac:dyDescent="0.2">
      <c r="A205" s="5" t="s">
        <v>1686</v>
      </c>
      <c r="B205" s="5" t="s">
        <v>412</v>
      </c>
      <c r="C205" s="5" t="s">
        <v>1687</v>
      </c>
      <c r="D205" s="5" t="s">
        <v>1688</v>
      </c>
      <c r="E205" s="5" t="s">
        <v>359</v>
      </c>
      <c r="F205" s="5" t="s">
        <v>1623</v>
      </c>
      <c r="G205" s="5" t="s">
        <v>1689</v>
      </c>
      <c r="H205" s="5" t="s">
        <v>1690</v>
      </c>
      <c r="I205" s="5" t="s">
        <v>390</v>
      </c>
      <c r="J205" s="5" t="s">
        <v>417</v>
      </c>
      <c r="K205" s="5" t="s">
        <v>392</v>
      </c>
      <c r="L205" s="5" t="s">
        <v>393</v>
      </c>
      <c r="M205" s="5" t="s">
        <v>418</v>
      </c>
    </row>
    <row r="206" spans="1:13" ht="57" customHeight="1" x14ac:dyDescent="0.2">
      <c r="A206" s="5" t="s">
        <v>1691</v>
      </c>
      <c r="B206" s="5" t="s">
        <v>1692</v>
      </c>
      <c r="C206" s="5" t="s">
        <v>1693</v>
      </c>
      <c r="D206" s="5" t="s">
        <v>1694</v>
      </c>
      <c r="E206" s="5" t="s">
        <v>359</v>
      </c>
      <c r="F206" s="5" t="s">
        <v>1623</v>
      </c>
      <c r="G206" s="5" t="s">
        <v>1695</v>
      </c>
      <c r="H206" s="5" t="s">
        <v>1696</v>
      </c>
      <c r="I206" s="5" t="s">
        <v>362</v>
      </c>
      <c r="J206" s="5" t="s">
        <v>1697</v>
      </c>
      <c r="K206" s="5" t="s">
        <v>364</v>
      </c>
      <c r="L206" s="5" t="s">
        <v>1698</v>
      </c>
      <c r="M206" s="5" t="s">
        <v>366</v>
      </c>
    </row>
    <row r="207" spans="1:13" ht="57" customHeight="1" x14ac:dyDescent="0.2">
      <c r="A207" s="5" t="s">
        <v>1699</v>
      </c>
      <c r="B207" s="5" t="s">
        <v>1700</v>
      </c>
      <c r="C207" s="5" t="s">
        <v>1701</v>
      </c>
      <c r="D207" s="5" t="s">
        <v>1702</v>
      </c>
      <c r="E207" s="5" t="s">
        <v>359</v>
      </c>
      <c r="F207" s="5" t="s">
        <v>1623</v>
      </c>
      <c r="G207" s="5" t="s">
        <v>1703</v>
      </c>
      <c r="H207" s="5" t="s">
        <v>1704</v>
      </c>
      <c r="I207" s="5" t="s">
        <v>390</v>
      </c>
      <c r="J207" s="5" t="s">
        <v>1705</v>
      </c>
      <c r="K207" s="5" t="s">
        <v>571</v>
      </c>
      <c r="L207" s="5" t="s">
        <v>572</v>
      </c>
      <c r="M207" s="5" t="s">
        <v>1530</v>
      </c>
    </row>
    <row r="208" spans="1:13" ht="87" customHeight="1" x14ac:dyDescent="0.2">
      <c r="A208" s="5" t="s">
        <v>1706</v>
      </c>
      <c r="B208" s="5" t="s">
        <v>1707</v>
      </c>
      <c r="C208" s="5" t="s">
        <v>1708</v>
      </c>
      <c r="D208" s="5" t="s">
        <v>1709</v>
      </c>
      <c r="E208" s="5" t="s">
        <v>347</v>
      </c>
      <c r="F208" s="5" t="s">
        <v>1710</v>
      </c>
      <c r="G208" s="5"/>
      <c r="H208" s="5" t="s">
        <v>349</v>
      </c>
      <c r="I208" s="5" t="s">
        <v>350</v>
      </c>
      <c r="J208" s="5" t="s">
        <v>351</v>
      </c>
      <c r="K208" s="5" t="s">
        <v>352</v>
      </c>
      <c r="L208" s="5" t="s">
        <v>353</v>
      </c>
      <c r="M208" s="5" t="s">
        <v>1711</v>
      </c>
    </row>
    <row r="209" spans="1:13" ht="57" customHeight="1" x14ac:dyDescent="0.2">
      <c r="A209" s="5" t="s">
        <v>1712</v>
      </c>
      <c r="B209" s="5" t="s">
        <v>356</v>
      </c>
      <c r="C209" s="5" t="s">
        <v>1713</v>
      </c>
      <c r="D209" s="5" t="s">
        <v>1714</v>
      </c>
      <c r="E209" s="5" t="s">
        <v>359</v>
      </c>
      <c r="F209" s="5" t="s">
        <v>1710</v>
      </c>
      <c r="G209" s="5" t="s">
        <v>1715</v>
      </c>
      <c r="H209" s="5" t="s">
        <v>1716</v>
      </c>
      <c r="I209" s="5" t="s">
        <v>362</v>
      </c>
      <c r="J209" s="5" t="s">
        <v>363</v>
      </c>
      <c r="K209" s="5" t="s">
        <v>364</v>
      </c>
      <c r="L209" s="5" t="s">
        <v>365</v>
      </c>
      <c r="M209" s="5" t="s">
        <v>366</v>
      </c>
    </row>
    <row r="210" spans="1:13" ht="57" customHeight="1" x14ac:dyDescent="0.2">
      <c r="A210" s="5" t="s">
        <v>1717</v>
      </c>
      <c r="B210" s="5" t="s">
        <v>368</v>
      </c>
      <c r="C210" s="5" t="s">
        <v>1718</v>
      </c>
      <c r="D210" s="5" t="s">
        <v>1719</v>
      </c>
      <c r="E210" s="5" t="s">
        <v>359</v>
      </c>
      <c r="F210" s="5" t="s">
        <v>1710</v>
      </c>
      <c r="G210" s="5" t="s">
        <v>1720</v>
      </c>
      <c r="H210" s="5" t="s">
        <v>1721</v>
      </c>
      <c r="I210" s="5" t="s">
        <v>362</v>
      </c>
      <c r="J210" s="5" t="s">
        <v>373</v>
      </c>
      <c r="K210" s="5" t="s">
        <v>364</v>
      </c>
      <c r="L210" s="5" t="s">
        <v>374</v>
      </c>
      <c r="M210" s="5" t="s">
        <v>366</v>
      </c>
    </row>
    <row r="211" spans="1:13" ht="57" customHeight="1" x14ac:dyDescent="0.2">
      <c r="A211" s="5" t="s">
        <v>1722</v>
      </c>
      <c r="B211" s="5" t="s">
        <v>376</v>
      </c>
      <c r="C211" s="5" t="s">
        <v>1723</v>
      </c>
      <c r="D211" s="5" t="s">
        <v>1724</v>
      </c>
      <c r="E211" s="5" t="s">
        <v>359</v>
      </c>
      <c r="F211" s="5" t="s">
        <v>1710</v>
      </c>
      <c r="G211" s="5" t="s">
        <v>1725</v>
      </c>
      <c r="H211" s="5" t="s">
        <v>1726</v>
      </c>
      <c r="I211" s="5" t="s">
        <v>362</v>
      </c>
      <c r="J211" s="5" t="s">
        <v>381</v>
      </c>
      <c r="K211" s="5" t="s">
        <v>382</v>
      </c>
      <c r="L211" s="5" t="s">
        <v>383</v>
      </c>
      <c r="M211" s="5" t="s">
        <v>366</v>
      </c>
    </row>
    <row r="212" spans="1:13" ht="57" customHeight="1" x14ac:dyDescent="0.2">
      <c r="A212" s="5" t="s">
        <v>1727</v>
      </c>
      <c r="B212" s="5" t="s">
        <v>818</v>
      </c>
      <c r="C212" s="5" t="s">
        <v>1728</v>
      </c>
      <c r="D212" s="5" t="s">
        <v>1729</v>
      </c>
      <c r="E212" s="5" t="s">
        <v>359</v>
      </c>
      <c r="F212" s="5" t="s">
        <v>1710</v>
      </c>
      <c r="G212" s="5" t="s">
        <v>1730</v>
      </c>
      <c r="H212" s="5" t="s">
        <v>1731</v>
      </c>
      <c r="I212" s="5" t="s">
        <v>362</v>
      </c>
      <c r="J212" s="5" t="s">
        <v>823</v>
      </c>
      <c r="K212" s="5" t="s">
        <v>392</v>
      </c>
      <c r="L212" s="5" t="s">
        <v>393</v>
      </c>
      <c r="M212" s="5" t="s">
        <v>506</v>
      </c>
    </row>
    <row r="213" spans="1:13" ht="57" customHeight="1" x14ac:dyDescent="0.2">
      <c r="A213" s="5" t="s">
        <v>1732</v>
      </c>
      <c r="B213" s="5" t="s">
        <v>412</v>
      </c>
      <c r="C213" s="5" t="s">
        <v>1733</v>
      </c>
      <c r="D213" s="5" t="s">
        <v>1734</v>
      </c>
      <c r="E213" s="5" t="s">
        <v>359</v>
      </c>
      <c r="F213" s="5" t="s">
        <v>1710</v>
      </c>
      <c r="G213" s="5" t="s">
        <v>1735</v>
      </c>
      <c r="H213" s="5" t="s">
        <v>1736</v>
      </c>
      <c r="I213" s="5" t="s">
        <v>362</v>
      </c>
      <c r="J213" s="5" t="s">
        <v>417</v>
      </c>
      <c r="K213" s="5" t="s">
        <v>392</v>
      </c>
      <c r="L213" s="5" t="s">
        <v>393</v>
      </c>
      <c r="M213" s="5" t="s">
        <v>418</v>
      </c>
    </row>
    <row r="214" spans="1:13" ht="57" customHeight="1" x14ac:dyDescent="0.2">
      <c r="A214" s="5" t="s">
        <v>1737</v>
      </c>
      <c r="B214" s="5" t="s">
        <v>1738</v>
      </c>
      <c r="C214" s="5" t="s">
        <v>1739</v>
      </c>
      <c r="D214" s="5" t="s">
        <v>1740</v>
      </c>
      <c r="E214" s="5" t="s">
        <v>359</v>
      </c>
      <c r="F214" s="5" t="s">
        <v>1710</v>
      </c>
      <c r="G214" s="5" t="s">
        <v>1741</v>
      </c>
      <c r="H214" s="5" t="s">
        <v>1742</v>
      </c>
      <c r="I214" s="5" t="s">
        <v>362</v>
      </c>
      <c r="J214" s="5" t="s">
        <v>1743</v>
      </c>
      <c r="K214" s="5" t="s">
        <v>402</v>
      </c>
      <c r="L214" s="5" t="s">
        <v>1744</v>
      </c>
      <c r="M214" s="5" t="s">
        <v>366</v>
      </c>
    </row>
    <row r="215" spans="1:13" ht="72" customHeight="1" x14ac:dyDescent="0.2">
      <c r="A215" s="5" t="s">
        <v>1745</v>
      </c>
      <c r="B215" s="5" t="s">
        <v>1746</v>
      </c>
      <c r="C215" s="5" t="s">
        <v>1747</v>
      </c>
      <c r="D215" s="5" t="s">
        <v>1748</v>
      </c>
      <c r="E215" s="5" t="s">
        <v>359</v>
      </c>
      <c r="F215" s="5" t="s">
        <v>1710</v>
      </c>
      <c r="G215" s="5" t="s">
        <v>1749</v>
      </c>
      <c r="H215" s="5" t="s">
        <v>1750</v>
      </c>
      <c r="I215" s="5" t="s">
        <v>362</v>
      </c>
      <c r="J215" s="5" t="s">
        <v>1751</v>
      </c>
      <c r="K215" s="5" t="s">
        <v>364</v>
      </c>
      <c r="L215" s="5" t="s">
        <v>1752</v>
      </c>
      <c r="M215" s="5" t="s">
        <v>366</v>
      </c>
    </row>
    <row r="216" spans="1:13" ht="72" customHeight="1" x14ac:dyDescent="0.2">
      <c r="A216" s="5" t="s">
        <v>1753</v>
      </c>
      <c r="B216" s="5" t="s">
        <v>1754</v>
      </c>
      <c r="C216" s="5" t="s">
        <v>1755</v>
      </c>
      <c r="D216" s="5" t="s">
        <v>1756</v>
      </c>
      <c r="E216" s="5" t="s">
        <v>359</v>
      </c>
      <c r="F216" s="5" t="s">
        <v>1710</v>
      </c>
      <c r="G216" s="5" t="s">
        <v>1757</v>
      </c>
      <c r="H216" s="5" t="s">
        <v>1758</v>
      </c>
      <c r="I216" s="5" t="s">
        <v>362</v>
      </c>
      <c r="J216" s="5" t="s">
        <v>1759</v>
      </c>
      <c r="K216" s="5" t="s">
        <v>364</v>
      </c>
      <c r="L216" s="5" t="s">
        <v>1760</v>
      </c>
      <c r="M216" s="5" t="s">
        <v>366</v>
      </c>
    </row>
    <row r="217" spans="1:13" ht="57" customHeight="1" x14ac:dyDescent="0.2">
      <c r="A217" s="5" t="s">
        <v>1761</v>
      </c>
      <c r="B217" s="5" t="s">
        <v>1700</v>
      </c>
      <c r="C217" s="5" t="s">
        <v>1762</v>
      </c>
      <c r="D217" s="5" t="s">
        <v>1763</v>
      </c>
      <c r="E217" s="5" t="s">
        <v>359</v>
      </c>
      <c r="F217" s="5" t="s">
        <v>1710</v>
      </c>
      <c r="G217" s="5" t="s">
        <v>1764</v>
      </c>
      <c r="H217" s="5" t="s">
        <v>1765</v>
      </c>
      <c r="I217" s="5" t="s">
        <v>390</v>
      </c>
      <c r="J217" s="5" t="s">
        <v>1705</v>
      </c>
      <c r="K217" s="5" t="s">
        <v>571</v>
      </c>
      <c r="L217" s="5" t="s">
        <v>572</v>
      </c>
      <c r="M217" s="5" t="s">
        <v>1530</v>
      </c>
    </row>
    <row r="218" spans="1:13" ht="57" customHeight="1" x14ac:dyDescent="0.2">
      <c r="A218" s="5" t="s">
        <v>1766</v>
      </c>
      <c r="B218" s="5" t="s">
        <v>1767</v>
      </c>
      <c r="C218" s="5" t="s">
        <v>1768</v>
      </c>
      <c r="D218" s="5" t="s">
        <v>1769</v>
      </c>
      <c r="E218" s="5" t="s">
        <v>359</v>
      </c>
      <c r="F218" s="5" t="s">
        <v>1710</v>
      </c>
      <c r="G218" s="5" t="s">
        <v>1770</v>
      </c>
      <c r="H218" s="5" t="s">
        <v>1771</v>
      </c>
      <c r="I218" s="5" t="s">
        <v>390</v>
      </c>
      <c r="J218" s="5" t="s">
        <v>1772</v>
      </c>
      <c r="K218" s="5" t="s">
        <v>571</v>
      </c>
      <c r="L218" s="5" t="s">
        <v>572</v>
      </c>
      <c r="M218" s="5" t="s">
        <v>1773</v>
      </c>
    </row>
    <row r="219" spans="1:13" ht="57" customHeight="1" x14ac:dyDescent="0.2">
      <c r="A219" s="5" t="s">
        <v>1774</v>
      </c>
      <c r="B219" s="5" t="s">
        <v>1775</v>
      </c>
      <c r="C219" s="5" t="s">
        <v>1776</v>
      </c>
      <c r="D219" s="5" t="s">
        <v>1777</v>
      </c>
      <c r="E219" s="5" t="s">
        <v>359</v>
      </c>
      <c r="F219" s="5" t="s">
        <v>1710</v>
      </c>
      <c r="G219" s="5" t="s">
        <v>1778</v>
      </c>
      <c r="H219" s="5" t="s">
        <v>1779</v>
      </c>
      <c r="I219" s="5" t="s">
        <v>390</v>
      </c>
      <c r="J219" s="5" t="s">
        <v>1780</v>
      </c>
      <c r="K219" s="5" t="s">
        <v>392</v>
      </c>
      <c r="L219" s="5" t="s">
        <v>393</v>
      </c>
      <c r="M219" s="5" t="s">
        <v>1781</v>
      </c>
    </row>
    <row r="220" spans="1:13" ht="57" customHeight="1" x14ac:dyDescent="0.2">
      <c r="A220" s="5" t="s">
        <v>1782</v>
      </c>
      <c r="B220" s="5" t="s">
        <v>1783</v>
      </c>
      <c r="C220" s="5" t="s">
        <v>1784</v>
      </c>
      <c r="D220" s="5" t="s">
        <v>1785</v>
      </c>
      <c r="E220" s="5" t="s">
        <v>359</v>
      </c>
      <c r="F220" s="5" t="s">
        <v>1710</v>
      </c>
      <c r="G220" s="5" t="s">
        <v>1786</v>
      </c>
      <c r="H220" s="5" t="s">
        <v>1787</v>
      </c>
      <c r="I220" s="5" t="s">
        <v>362</v>
      </c>
      <c r="J220" s="5" t="s">
        <v>1788</v>
      </c>
      <c r="K220" s="5" t="s">
        <v>402</v>
      </c>
      <c r="L220" s="5" t="s">
        <v>276</v>
      </c>
      <c r="M220" s="5" t="s">
        <v>366</v>
      </c>
    </row>
    <row r="221" spans="1:13" ht="87" customHeight="1" x14ac:dyDescent="0.2">
      <c r="A221" s="5" t="s">
        <v>1789</v>
      </c>
      <c r="B221" s="5" t="s">
        <v>1790</v>
      </c>
      <c r="C221" s="5" t="s">
        <v>1791</v>
      </c>
      <c r="D221" s="5" t="s">
        <v>1792</v>
      </c>
      <c r="E221" s="5" t="s">
        <v>347</v>
      </c>
      <c r="F221" s="5" t="s">
        <v>1793</v>
      </c>
      <c r="G221" s="5"/>
      <c r="H221" s="5" t="s">
        <v>349</v>
      </c>
      <c r="I221" s="5" t="s">
        <v>350</v>
      </c>
      <c r="J221" s="5" t="s">
        <v>351</v>
      </c>
      <c r="K221" s="5" t="s">
        <v>352</v>
      </c>
      <c r="L221" s="5" t="s">
        <v>353</v>
      </c>
      <c r="M221" s="5" t="s">
        <v>1794</v>
      </c>
    </row>
    <row r="222" spans="1:13" ht="57" customHeight="1" x14ac:dyDescent="0.2">
      <c r="A222" s="5" t="s">
        <v>1795</v>
      </c>
      <c r="B222" s="5" t="s">
        <v>356</v>
      </c>
      <c r="C222" s="5" t="s">
        <v>1796</v>
      </c>
      <c r="D222" s="5" t="s">
        <v>1797</v>
      </c>
      <c r="E222" s="5" t="s">
        <v>359</v>
      </c>
      <c r="F222" s="5" t="s">
        <v>1793</v>
      </c>
      <c r="G222" s="5" t="s">
        <v>1798</v>
      </c>
      <c r="H222" s="5" t="s">
        <v>1799</v>
      </c>
      <c r="I222" s="5" t="s">
        <v>362</v>
      </c>
      <c r="J222" s="5" t="s">
        <v>363</v>
      </c>
      <c r="K222" s="5" t="s">
        <v>364</v>
      </c>
      <c r="L222" s="5" t="s">
        <v>365</v>
      </c>
      <c r="M222" s="5" t="s">
        <v>366</v>
      </c>
    </row>
    <row r="223" spans="1:13" ht="57" customHeight="1" x14ac:dyDescent="0.2">
      <c r="A223" s="5" t="s">
        <v>1800</v>
      </c>
      <c r="B223" s="5" t="s">
        <v>368</v>
      </c>
      <c r="C223" s="5" t="s">
        <v>1801</v>
      </c>
      <c r="D223" s="5" t="s">
        <v>1802</v>
      </c>
      <c r="E223" s="5" t="s">
        <v>359</v>
      </c>
      <c r="F223" s="5" t="s">
        <v>1793</v>
      </c>
      <c r="G223" s="5" t="s">
        <v>1803</v>
      </c>
      <c r="H223" s="5" t="s">
        <v>1804</v>
      </c>
      <c r="I223" s="5" t="s">
        <v>362</v>
      </c>
      <c r="J223" s="5" t="s">
        <v>373</v>
      </c>
      <c r="K223" s="5" t="s">
        <v>364</v>
      </c>
      <c r="L223" s="5" t="s">
        <v>374</v>
      </c>
      <c r="M223" s="5" t="s">
        <v>366</v>
      </c>
    </row>
    <row r="224" spans="1:13" ht="57" customHeight="1" x14ac:dyDescent="0.2">
      <c r="A224" s="5" t="s">
        <v>1805</v>
      </c>
      <c r="B224" s="5" t="s">
        <v>376</v>
      </c>
      <c r="C224" s="5" t="s">
        <v>1806</v>
      </c>
      <c r="D224" s="5" t="s">
        <v>1807</v>
      </c>
      <c r="E224" s="5" t="s">
        <v>359</v>
      </c>
      <c r="F224" s="5" t="s">
        <v>1793</v>
      </c>
      <c r="G224" s="5" t="s">
        <v>1808</v>
      </c>
      <c r="H224" s="5" t="s">
        <v>1809</v>
      </c>
      <c r="I224" s="5" t="s">
        <v>362</v>
      </c>
      <c r="J224" s="5" t="s">
        <v>381</v>
      </c>
      <c r="K224" s="5" t="s">
        <v>382</v>
      </c>
      <c r="L224" s="5" t="s">
        <v>383</v>
      </c>
      <c r="M224" s="5" t="s">
        <v>366</v>
      </c>
    </row>
    <row r="225" spans="1:13" ht="72" customHeight="1" x14ac:dyDescent="0.2">
      <c r="A225" s="5" t="s">
        <v>1810</v>
      </c>
      <c r="B225" s="5" t="s">
        <v>500</v>
      </c>
      <c r="C225" s="5" t="s">
        <v>1811</v>
      </c>
      <c r="D225" s="5" t="s">
        <v>1812</v>
      </c>
      <c r="E225" s="5" t="s">
        <v>359</v>
      </c>
      <c r="F225" s="5" t="s">
        <v>1793</v>
      </c>
      <c r="G225" s="5" t="s">
        <v>1813</v>
      </c>
      <c r="H225" s="5" t="s">
        <v>1814</v>
      </c>
      <c r="I225" s="5" t="s">
        <v>362</v>
      </c>
      <c r="J225" s="5" t="s">
        <v>505</v>
      </c>
      <c r="K225" s="5" t="s">
        <v>392</v>
      </c>
      <c r="L225" s="5" t="s">
        <v>393</v>
      </c>
      <c r="M225" s="5" t="s">
        <v>506</v>
      </c>
    </row>
    <row r="226" spans="1:13" ht="57" customHeight="1" x14ac:dyDescent="0.2">
      <c r="A226" s="5" t="s">
        <v>1815</v>
      </c>
      <c r="B226" s="5" t="s">
        <v>1816</v>
      </c>
      <c r="C226" s="5" t="s">
        <v>1817</v>
      </c>
      <c r="D226" s="5" t="s">
        <v>1818</v>
      </c>
      <c r="E226" s="5" t="s">
        <v>359</v>
      </c>
      <c r="F226" s="5" t="s">
        <v>1793</v>
      </c>
      <c r="G226" s="5" t="s">
        <v>1819</v>
      </c>
      <c r="H226" s="5" t="s">
        <v>1820</v>
      </c>
      <c r="I226" s="5" t="s">
        <v>362</v>
      </c>
      <c r="J226" s="5" t="s">
        <v>1821</v>
      </c>
      <c r="K226" s="5" t="s">
        <v>402</v>
      </c>
      <c r="L226" s="5" t="s">
        <v>133</v>
      </c>
      <c r="M226" s="5" t="s">
        <v>366</v>
      </c>
    </row>
    <row r="227" spans="1:13" ht="57" customHeight="1" x14ac:dyDescent="0.2">
      <c r="A227" s="5" t="s">
        <v>1822</v>
      </c>
      <c r="B227" s="5" t="s">
        <v>420</v>
      </c>
      <c r="C227" s="5" t="s">
        <v>1823</v>
      </c>
      <c r="D227" s="5" t="s">
        <v>1824</v>
      </c>
      <c r="E227" s="5" t="s">
        <v>359</v>
      </c>
      <c r="F227" s="5" t="s">
        <v>1793</v>
      </c>
      <c r="G227" s="5" t="s">
        <v>1825</v>
      </c>
      <c r="H227" s="5" t="s">
        <v>1826</v>
      </c>
      <c r="I227" s="5" t="s">
        <v>362</v>
      </c>
      <c r="J227" s="5" t="s">
        <v>425</v>
      </c>
      <c r="K227" s="5" t="s">
        <v>392</v>
      </c>
      <c r="L227" s="5" t="s">
        <v>393</v>
      </c>
      <c r="M227" s="5" t="s">
        <v>426</v>
      </c>
    </row>
    <row r="228" spans="1:13" ht="57" customHeight="1" x14ac:dyDescent="0.2">
      <c r="A228" s="5" t="s">
        <v>1827</v>
      </c>
      <c r="B228" s="5" t="s">
        <v>1828</v>
      </c>
      <c r="C228" s="5" t="s">
        <v>1829</v>
      </c>
      <c r="D228" s="5" t="s">
        <v>1830</v>
      </c>
      <c r="E228" s="5" t="s">
        <v>359</v>
      </c>
      <c r="F228" s="5" t="s">
        <v>1793</v>
      </c>
      <c r="G228" s="5" t="s">
        <v>1831</v>
      </c>
      <c r="H228" s="5" t="s">
        <v>1832</v>
      </c>
      <c r="I228" s="5" t="s">
        <v>362</v>
      </c>
      <c r="J228" s="5" t="s">
        <v>1833</v>
      </c>
      <c r="K228" s="5" t="s">
        <v>571</v>
      </c>
      <c r="L228" s="5" t="s">
        <v>572</v>
      </c>
      <c r="M228" s="5" t="s">
        <v>506</v>
      </c>
    </row>
    <row r="229" spans="1:13" ht="57" customHeight="1" x14ac:dyDescent="0.2">
      <c r="A229" s="5" t="s">
        <v>1834</v>
      </c>
      <c r="B229" s="5" t="s">
        <v>420</v>
      </c>
      <c r="C229" s="5" t="s">
        <v>1835</v>
      </c>
      <c r="D229" s="5" t="s">
        <v>1836</v>
      </c>
      <c r="E229" s="5" t="s">
        <v>359</v>
      </c>
      <c r="F229" s="5" t="s">
        <v>1793</v>
      </c>
      <c r="G229" s="5" t="s">
        <v>1837</v>
      </c>
      <c r="H229" s="5" t="s">
        <v>1838</v>
      </c>
      <c r="I229" s="5" t="s">
        <v>390</v>
      </c>
      <c r="J229" s="5" t="s">
        <v>425</v>
      </c>
      <c r="K229" s="5" t="s">
        <v>392</v>
      </c>
      <c r="L229" s="5" t="s">
        <v>393</v>
      </c>
      <c r="M229" s="5" t="s">
        <v>426</v>
      </c>
    </row>
    <row r="230" spans="1:13" ht="57" customHeight="1" x14ac:dyDescent="0.2">
      <c r="A230" s="5" t="s">
        <v>1839</v>
      </c>
      <c r="B230" s="5" t="s">
        <v>1840</v>
      </c>
      <c r="C230" s="5" t="s">
        <v>1841</v>
      </c>
      <c r="D230" s="5" t="s">
        <v>1842</v>
      </c>
      <c r="E230" s="5" t="s">
        <v>359</v>
      </c>
      <c r="F230" s="5" t="s">
        <v>1793</v>
      </c>
      <c r="G230" s="5" t="s">
        <v>1843</v>
      </c>
      <c r="H230" s="5" t="s">
        <v>1844</v>
      </c>
      <c r="I230" s="5" t="s">
        <v>362</v>
      </c>
      <c r="J230" s="5" t="s">
        <v>1845</v>
      </c>
      <c r="K230" s="5" t="s">
        <v>571</v>
      </c>
      <c r="L230" s="5" t="s">
        <v>572</v>
      </c>
      <c r="M230" s="5" t="s">
        <v>1530</v>
      </c>
    </row>
    <row r="231" spans="1:13" ht="57" customHeight="1" x14ac:dyDescent="0.2">
      <c r="A231" s="5" t="s">
        <v>1846</v>
      </c>
      <c r="B231" s="5" t="s">
        <v>1767</v>
      </c>
      <c r="C231" s="5" t="s">
        <v>1847</v>
      </c>
      <c r="D231" s="5" t="s">
        <v>1848</v>
      </c>
      <c r="E231" s="5" t="s">
        <v>359</v>
      </c>
      <c r="F231" s="5" t="s">
        <v>1793</v>
      </c>
      <c r="G231" s="5" t="s">
        <v>1849</v>
      </c>
      <c r="H231" s="5" t="s">
        <v>1850</v>
      </c>
      <c r="I231" s="5" t="s">
        <v>390</v>
      </c>
      <c r="J231" s="5" t="s">
        <v>1772</v>
      </c>
      <c r="K231" s="5" t="s">
        <v>571</v>
      </c>
      <c r="L231" s="5" t="s">
        <v>572</v>
      </c>
      <c r="M231" s="5" t="s">
        <v>1773</v>
      </c>
    </row>
    <row r="232" spans="1:13" ht="57" customHeight="1" x14ac:dyDescent="0.2">
      <c r="A232" s="5" t="s">
        <v>1851</v>
      </c>
      <c r="B232" s="5" t="s">
        <v>1852</v>
      </c>
      <c r="C232" s="5" t="s">
        <v>1853</v>
      </c>
      <c r="D232" s="5" t="s">
        <v>1854</v>
      </c>
      <c r="E232" s="5" t="s">
        <v>359</v>
      </c>
      <c r="F232" s="5" t="s">
        <v>1793</v>
      </c>
      <c r="G232" s="5" t="s">
        <v>1855</v>
      </c>
      <c r="H232" s="5" t="s">
        <v>1856</v>
      </c>
      <c r="I232" s="5" t="s">
        <v>362</v>
      </c>
      <c r="J232" s="5" t="s">
        <v>1857</v>
      </c>
      <c r="K232" s="5" t="s">
        <v>364</v>
      </c>
      <c r="L232" s="5" t="s">
        <v>1858</v>
      </c>
      <c r="M232" s="5" t="s">
        <v>366</v>
      </c>
    </row>
    <row r="233" spans="1:13" ht="57" customHeight="1" x14ac:dyDescent="0.2">
      <c r="A233" s="5" t="s">
        <v>1859</v>
      </c>
      <c r="B233" s="5" t="s">
        <v>1860</v>
      </c>
      <c r="C233" s="5" t="s">
        <v>1861</v>
      </c>
      <c r="D233" s="5" t="s">
        <v>1862</v>
      </c>
      <c r="E233" s="5" t="s">
        <v>359</v>
      </c>
      <c r="F233" s="5" t="s">
        <v>1793</v>
      </c>
      <c r="G233" s="5" t="s">
        <v>1863</v>
      </c>
      <c r="H233" s="5" t="s">
        <v>1864</v>
      </c>
      <c r="I233" s="5" t="s">
        <v>362</v>
      </c>
      <c r="J233" s="5" t="s">
        <v>1865</v>
      </c>
      <c r="K233" s="5" t="s">
        <v>364</v>
      </c>
      <c r="L233" s="5" t="s">
        <v>1866</v>
      </c>
      <c r="M233" s="5" t="s">
        <v>366</v>
      </c>
    </row>
    <row r="234" spans="1:13" ht="87" customHeight="1" x14ac:dyDescent="0.2">
      <c r="A234" s="5" t="s">
        <v>1867</v>
      </c>
      <c r="B234" s="5" t="s">
        <v>1868</v>
      </c>
      <c r="C234" s="5" t="s">
        <v>1869</v>
      </c>
      <c r="D234" s="5" t="s">
        <v>1870</v>
      </c>
      <c r="E234" s="5" t="s">
        <v>347</v>
      </c>
      <c r="F234" s="5" t="s">
        <v>1871</v>
      </c>
      <c r="G234" s="5"/>
      <c r="H234" s="5" t="s">
        <v>349</v>
      </c>
      <c r="I234" s="5" t="s">
        <v>350</v>
      </c>
      <c r="J234" s="5" t="s">
        <v>351</v>
      </c>
      <c r="K234" s="5" t="s">
        <v>352</v>
      </c>
      <c r="L234" s="5" t="s">
        <v>353</v>
      </c>
      <c r="M234" s="5" t="s">
        <v>51</v>
      </c>
    </row>
    <row r="235" spans="1:13" ht="57" customHeight="1" x14ac:dyDescent="0.2">
      <c r="A235" s="5" t="s">
        <v>1872</v>
      </c>
      <c r="B235" s="5" t="s">
        <v>356</v>
      </c>
      <c r="C235" s="5" t="s">
        <v>1873</v>
      </c>
      <c r="D235" s="5" t="s">
        <v>1874</v>
      </c>
      <c r="E235" s="5" t="s">
        <v>359</v>
      </c>
      <c r="F235" s="5" t="s">
        <v>1871</v>
      </c>
      <c r="G235" s="5" t="s">
        <v>1875</v>
      </c>
      <c r="H235" s="5" t="s">
        <v>1876</v>
      </c>
      <c r="I235" s="5" t="s">
        <v>362</v>
      </c>
      <c r="J235" s="5" t="s">
        <v>363</v>
      </c>
      <c r="K235" s="5" t="s">
        <v>364</v>
      </c>
      <c r="L235" s="5" t="s">
        <v>365</v>
      </c>
      <c r="M235" s="5" t="s">
        <v>366</v>
      </c>
    </row>
    <row r="236" spans="1:13" ht="57" customHeight="1" x14ac:dyDescent="0.2">
      <c r="A236" s="5" t="s">
        <v>1877</v>
      </c>
      <c r="B236" s="5" t="s">
        <v>368</v>
      </c>
      <c r="C236" s="5" t="s">
        <v>1878</v>
      </c>
      <c r="D236" s="5" t="s">
        <v>1879</v>
      </c>
      <c r="E236" s="5" t="s">
        <v>359</v>
      </c>
      <c r="F236" s="5" t="s">
        <v>1871</v>
      </c>
      <c r="G236" s="5" t="s">
        <v>1880</v>
      </c>
      <c r="H236" s="5" t="s">
        <v>1881</v>
      </c>
      <c r="I236" s="5" t="s">
        <v>362</v>
      </c>
      <c r="J236" s="5" t="s">
        <v>373</v>
      </c>
      <c r="K236" s="5" t="s">
        <v>364</v>
      </c>
      <c r="L236" s="5" t="s">
        <v>374</v>
      </c>
      <c r="M236" s="5" t="s">
        <v>366</v>
      </c>
    </row>
    <row r="237" spans="1:13" ht="57" customHeight="1" x14ac:dyDescent="0.2">
      <c r="A237" s="5" t="s">
        <v>1882</v>
      </c>
      <c r="B237" s="5" t="s">
        <v>376</v>
      </c>
      <c r="C237" s="5" t="s">
        <v>1883</v>
      </c>
      <c r="D237" s="5" t="s">
        <v>1884</v>
      </c>
      <c r="E237" s="5" t="s">
        <v>359</v>
      </c>
      <c r="F237" s="5" t="s">
        <v>1871</v>
      </c>
      <c r="G237" s="5" t="s">
        <v>1885</v>
      </c>
      <c r="H237" s="5" t="s">
        <v>1886</v>
      </c>
      <c r="I237" s="5" t="s">
        <v>362</v>
      </c>
      <c r="J237" s="5" t="s">
        <v>381</v>
      </c>
      <c r="K237" s="5" t="s">
        <v>382</v>
      </c>
      <c r="L237" s="5" t="s">
        <v>383</v>
      </c>
      <c r="M237" s="5" t="s">
        <v>366</v>
      </c>
    </row>
    <row r="238" spans="1:13" ht="57" customHeight="1" x14ac:dyDescent="0.2">
      <c r="A238" s="5" t="s">
        <v>1887</v>
      </c>
      <c r="B238" s="5" t="s">
        <v>1888</v>
      </c>
      <c r="C238" s="5" t="s">
        <v>1889</v>
      </c>
      <c r="D238" s="5" t="s">
        <v>1890</v>
      </c>
      <c r="E238" s="5" t="s">
        <v>359</v>
      </c>
      <c r="F238" s="5" t="s">
        <v>1871</v>
      </c>
      <c r="G238" s="5" t="s">
        <v>1891</v>
      </c>
      <c r="H238" s="5" t="s">
        <v>1892</v>
      </c>
      <c r="I238" s="5" t="s">
        <v>362</v>
      </c>
      <c r="J238" s="5" t="s">
        <v>1893</v>
      </c>
      <c r="K238" s="5" t="s">
        <v>364</v>
      </c>
      <c r="L238" s="5" t="s">
        <v>1894</v>
      </c>
      <c r="M238" s="5" t="s">
        <v>366</v>
      </c>
    </row>
    <row r="239" spans="1:13" ht="57" customHeight="1" x14ac:dyDescent="0.2">
      <c r="A239" s="5" t="s">
        <v>1895</v>
      </c>
      <c r="B239" s="5" t="s">
        <v>1896</v>
      </c>
      <c r="C239" s="5" t="s">
        <v>1897</v>
      </c>
      <c r="D239" s="5" t="s">
        <v>1898</v>
      </c>
      <c r="E239" s="5" t="s">
        <v>359</v>
      </c>
      <c r="F239" s="5" t="s">
        <v>1871</v>
      </c>
      <c r="G239" s="5" t="s">
        <v>1899</v>
      </c>
      <c r="H239" s="5" t="s">
        <v>1900</v>
      </c>
      <c r="I239" s="5" t="s">
        <v>362</v>
      </c>
      <c r="J239" s="5" t="s">
        <v>1901</v>
      </c>
      <c r="K239" s="5" t="s">
        <v>364</v>
      </c>
      <c r="L239" s="5" t="s">
        <v>1902</v>
      </c>
      <c r="M239" s="5" t="s">
        <v>366</v>
      </c>
    </row>
    <row r="240" spans="1:13" ht="72" customHeight="1" x14ac:dyDescent="0.2">
      <c r="A240" s="5" t="s">
        <v>1903</v>
      </c>
      <c r="B240" s="5" t="s">
        <v>1904</v>
      </c>
      <c r="C240" s="5" t="s">
        <v>1905</v>
      </c>
      <c r="D240" s="5" t="s">
        <v>1906</v>
      </c>
      <c r="E240" s="5" t="s">
        <v>359</v>
      </c>
      <c r="F240" s="5" t="s">
        <v>1871</v>
      </c>
      <c r="G240" s="5" t="s">
        <v>1907</v>
      </c>
      <c r="H240" s="5" t="s">
        <v>1908</v>
      </c>
      <c r="I240" s="5" t="s">
        <v>362</v>
      </c>
      <c r="J240" s="5" t="s">
        <v>1909</v>
      </c>
      <c r="K240" s="5" t="s">
        <v>514</v>
      </c>
      <c r="L240" s="5" t="s">
        <v>515</v>
      </c>
      <c r="M240" s="5" t="s">
        <v>366</v>
      </c>
    </row>
    <row r="241" spans="1:13" ht="57" customHeight="1" x14ac:dyDescent="0.2">
      <c r="A241" s="5" t="s">
        <v>1910</v>
      </c>
      <c r="B241" s="5" t="s">
        <v>1911</v>
      </c>
      <c r="C241" s="5" t="s">
        <v>1912</v>
      </c>
      <c r="D241" s="5" t="s">
        <v>1913</v>
      </c>
      <c r="E241" s="5" t="s">
        <v>359</v>
      </c>
      <c r="F241" s="5" t="s">
        <v>1871</v>
      </c>
      <c r="G241" s="5" t="s">
        <v>1914</v>
      </c>
      <c r="H241" s="5" t="s">
        <v>1915</v>
      </c>
      <c r="I241" s="5" t="s">
        <v>362</v>
      </c>
      <c r="J241" s="5" t="s">
        <v>1916</v>
      </c>
      <c r="K241" s="5" t="s">
        <v>364</v>
      </c>
      <c r="L241" s="5" t="s">
        <v>1917</v>
      </c>
      <c r="M241" s="5" t="s">
        <v>366</v>
      </c>
    </row>
    <row r="242" spans="1:13" ht="57" customHeight="1" x14ac:dyDescent="0.2">
      <c r="A242" s="5" t="s">
        <v>1918</v>
      </c>
      <c r="B242" s="5" t="s">
        <v>1919</v>
      </c>
      <c r="C242" s="5" t="s">
        <v>1920</v>
      </c>
      <c r="D242" s="5" t="s">
        <v>1921</v>
      </c>
      <c r="E242" s="5" t="s">
        <v>359</v>
      </c>
      <c r="F242" s="5" t="s">
        <v>1871</v>
      </c>
      <c r="G242" s="5" t="s">
        <v>1922</v>
      </c>
      <c r="H242" s="5" t="s">
        <v>1923</v>
      </c>
      <c r="I242" s="5" t="s">
        <v>362</v>
      </c>
      <c r="J242" s="5" t="s">
        <v>1924</v>
      </c>
      <c r="K242" s="5" t="s">
        <v>364</v>
      </c>
      <c r="L242" s="5" t="s">
        <v>1925</v>
      </c>
      <c r="M242" s="5" t="s">
        <v>366</v>
      </c>
    </row>
    <row r="243" spans="1:13" ht="57" customHeight="1" x14ac:dyDescent="0.2">
      <c r="A243" s="5" t="s">
        <v>1926</v>
      </c>
      <c r="B243" s="5" t="s">
        <v>1927</v>
      </c>
      <c r="C243" s="5" t="s">
        <v>1928</v>
      </c>
      <c r="D243" s="5" t="s">
        <v>1929</v>
      </c>
      <c r="E243" s="5" t="s">
        <v>359</v>
      </c>
      <c r="F243" s="5" t="s">
        <v>1871</v>
      </c>
      <c r="G243" s="5" t="s">
        <v>1930</v>
      </c>
      <c r="H243" s="5" t="s">
        <v>1931</v>
      </c>
      <c r="I243" s="5" t="s">
        <v>362</v>
      </c>
      <c r="J243" s="5" t="s">
        <v>1932</v>
      </c>
      <c r="K243" s="5" t="s">
        <v>364</v>
      </c>
      <c r="L243" s="5" t="s">
        <v>1933</v>
      </c>
      <c r="M243" s="5" t="s">
        <v>366</v>
      </c>
    </row>
    <row r="244" spans="1:13" ht="57" customHeight="1" x14ac:dyDescent="0.2">
      <c r="A244" s="5" t="s">
        <v>1934</v>
      </c>
      <c r="B244" s="5" t="s">
        <v>1935</v>
      </c>
      <c r="C244" s="5" t="s">
        <v>1936</v>
      </c>
      <c r="D244" s="5" t="s">
        <v>1937</v>
      </c>
      <c r="E244" s="5" t="s">
        <v>359</v>
      </c>
      <c r="F244" s="5" t="s">
        <v>1871</v>
      </c>
      <c r="G244" s="5" t="s">
        <v>1938</v>
      </c>
      <c r="H244" s="5" t="s">
        <v>1939</v>
      </c>
      <c r="I244" s="5" t="s">
        <v>362</v>
      </c>
      <c r="J244" s="5" t="s">
        <v>1940</v>
      </c>
      <c r="K244" s="5" t="s">
        <v>364</v>
      </c>
      <c r="L244" s="5" t="s">
        <v>1941</v>
      </c>
      <c r="M244" s="5" t="s">
        <v>366</v>
      </c>
    </row>
    <row r="245" spans="1:13" ht="57" customHeight="1" x14ac:dyDescent="0.2">
      <c r="A245" s="5" t="s">
        <v>1942</v>
      </c>
      <c r="B245" s="5" t="s">
        <v>1943</v>
      </c>
      <c r="C245" s="5" t="s">
        <v>1944</v>
      </c>
      <c r="D245" s="5" t="s">
        <v>1945</v>
      </c>
      <c r="E245" s="5" t="s">
        <v>359</v>
      </c>
      <c r="F245" s="5" t="s">
        <v>1871</v>
      </c>
      <c r="G245" s="5" t="s">
        <v>1946</v>
      </c>
      <c r="H245" s="5" t="s">
        <v>1947</v>
      </c>
      <c r="I245" s="5" t="s">
        <v>362</v>
      </c>
      <c r="J245" s="5" t="s">
        <v>1948</v>
      </c>
      <c r="K245" s="5" t="s">
        <v>364</v>
      </c>
      <c r="L245" s="5" t="s">
        <v>1949</v>
      </c>
      <c r="M245" s="5" t="s">
        <v>366</v>
      </c>
    </row>
    <row r="246" spans="1:13" ht="57" customHeight="1" x14ac:dyDescent="0.2">
      <c r="A246" s="5" t="s">
        <v>1950</v>
      </c>
      <c r="B246" s="5" t="s">
        <v>565</v>
      </c>
      <c r="C246" s="5" t="s">
        <v>1951</v>
      </c>
      <c r="D246" s="5" t="s">
        <v>1952</v>
      </c>
      <c r="E246" s="5" t="s">
        <v>359</v>
      </c>
      <c r="F246" s="5" t="s">
        <v>1871</v>
      </c>
      <c r="G246" s="5" t="s">
        <v>1953</v>
      </c>
      <c r="H246" s="5" t="s">
        <v>1954</v>
      </c>
      <c r="I246" s="5" t="s">
        <v>362</v>
      </c>
      <c r="J246" s="5" t="s">
        <v>570</v>
      </c>
      <c r="K246" s="5" t="s">
        <v>571</v>
      </c>
      <c r="L246" s="5" t="s">
        <v>572</v>
      </c>
      <c r="M246" s="5" t="s">
        <v>573</v>
      </c>
    </row>
    <row r="247" spans="1:13" ht="87" customHeight="1" x14ac:dyDescent="0.2">
      <c r="A247" s="5" t="s">
        <v>1955</v>
      </c>
      <c r="B247" s="5" t="s">
        <v>1956</v>
      </c>
      <c r="C247" s="5" t="s">
        <v>1957</v>
      </c>
      <c r="D247" s="5" t="s">
        <v>1958</v>
      </c>
      <c r="E247" s="5" t="s">
        <v>347</v>
      </c>
      <c r="F247" s="5" t="s">
        <v>1959</v>
      </c>
      <c r="G247" s="5"/>
      <c r="H247" s="5" t="s">
        <v>349</v>
      </c>
      <c r="I247" s="5" t="s">
        <v>350</v>
      </c>
      <c r="J247" s="5" t="s">
        <v>351</v>
      </c>
      <c r="K247" s="5" t="s">
        <v>352</v>
      </c>
      <c r="L247" s="5" t="s">
        <v>353</v>
      </c>
      <c r="M247" s="5" t="s">
        <v>1960</v>
      </c>
    </row>
    <row r="248" spans="1:13" ht="57" customHeight="1" x14ac:dyDescent="0.2">
      <c r="A248" s="5" t="s">
        <v>1961</v>
      </c>
      <c r="B248" s="5" t="s">
        <v>356</v>
      </c>
      <c r="C248" s="5" t="s">
        <v>1962</v>
      </c>
      <c r="D248" s="5" t="s">
        <v>1963</v>
      </c>
      <c r="E248" s="5" t="s">
        <v>359</v>
      </c>
      <c r="F248" s="5" t="s">
        <v>1959</v>
      </c>
      <c r="G248" s="5" t="s">
        <v>1964</v>
      </c>
      <c r="H248" s="5" t="s">
        <v>1965</v>
      </c>
      <c r="I248" s="5" t="s">
        <v>362</v>
      </c>
      <c r="J248" s="5" t="s">
        <v>363</v>
      </c>
      <c r="K248" s="5" t="s">
        <v>364</v>
      </c>
      <c r="L248" s="5" t="s">
        <v>365</v>
      </c>
      <c r="M248" s="5" t="s">
        <v>366</v>
      </c>
    </row>
    <row r="249" spans="1:13" ht="57" customHeight="1" x14ac:dyDescent="0.2">
      <c r="A249" s="5" t="s">
        <v>1966</v>
      </c>
      <c r="B249" s="5" t="s">
        <v>368</v>
      </c>
      <c r="C249" s="5" t="s">
        <v>1967</v>
      </c>
      <c r="D249" s="5" t="s">
        <v>1968</v>
      </c>
      <c r="E249" s="5" t="s">
        <v>359</v>
      </c>
      <c r="F249" s="5" t="s">
        <v>1959</v>
      </c>
      <c r="G249" s="5" t="s">
        <v>1969</v>
      </c>
      <c r="H249" s="5" t="s">
        <v>1970</v>
      </c>
      <c r="I249" s="5" t="s">
        <v>362</v>
      </c>
      <c r="J249" s="5" t="s">
        <v>373</v>
      </c>
      <c r="K249" s="5" t="s">
        <v>364</v>
      </c>
      <c r="L249" s="5" t="s">
        <v>374</v>
      </c>
      <c r="M249" s="5" t="s">
        <v>366</v>
      </c>
    </row>
    <row r="250" spans="1:13" ht="57" customHeight="1" x14ac:dyDescent="0.2">
      <c r="A250" s="5" t="s">
        <v>1971</v>
      </c>
      <c r="B250" s="5" t="s">
        <v>376</v>
      </c>
      <c r="C250" s="5" t="s">
        <v>1972</v>
      </c>
      <c r="D250" s="5" t="s">
        <v>1973</v>
      </c>
      <c r="E250" s="5" t="s">
        <v>359</v>
      </c>
      <c r="F250" s="5" t="s">
        <v>1959</v>
      </c>
      <c r="G250" s="5" t="s">
        <v>1974</v>
      </c>
      <c r="H250" s="5" t="s">
        <v>1975</v>
      </c>
      <c r="I250" s="5" t="s">
        <v>362</v>
      </c>
      <c r="J250" s="5" t="s">
        <v>381</v>
      </c>
      <c r="K250" s="5" t="s">
        <v>382</v>
      </c>
      <c r="L250" s="5" t="s">
        <v>383</v>
      </c>
      <c r="M250" s="5" t="s">
        <v>366</v>
      </c>
    </row>
    <row r="251" spans="1:13" ht="57" customHeight="1" x14ac:dyDescent="0.2">
      <c r="A251" s="5" t="s">
        <v>1976</v>
      </c>
      <c r="B251" s="5" t="s">
        <v>698</v>
      </c>
      <c r="C251" s="5" t="s">
        <v>1977</v>
      </c>
      <c r="D251" s="5" t="s">
        <v>1978</v>
      </c>
      <c r="E251" s="5" t="s">
        <v>359</v>
      </c>
      <c r="F251" s="5" t="s">
        <v>1959</v>
      </c>
      <c r="G251" s="5" t="s">
        <v>1979</v>
      </c>
      <c r="H251" s="5" t="s">
        <v>1980</v>
      </c>
      <c r="I251" s="5" t="s">
        <v>362</v>
      </c>
      <c r="J251" s="5" t="s">
        <v>704</v>
      </c>
      <c r="K251" s="5" t="s">
        <v>392</v>
      </c>
      <c r="L251" s="5" t="s">
        <v>393</v>
      </c>
      <c r="M251" s="5" t="s">
        <v>705</v>
      </c>
    </row>
    <row r="252" spans="1:13" ht="72" customHeight="1" x14ac:dyDescent="0.2">
      <c r="A252" s="5" t="s">
        <v>1981</v>
      </c>
      <c r="B252" s="5" t="s">
        <v>1982</v>
      </c>
      <c r="C252" s="5" t="s">
        <v>1983</v>
      </c>
      <c r="D252" s="5" t="s">
        <v>1984</v>
      </c>
      <c r="E252" s="5" t="s">
        <v>359</v>
      </c>
      <c r="F252" s="5" t="s">
        <v>1959</v>
      </c>
      <c r="G252" s="5" t="s">
        <v>1985</v>
      </c>
      <c r="H252" s="5" t="s">
        <v>1986</v>
      </c>
      <c r="I252" s="5" t="s">
        <v>362</v>
      </c>
      <c r="J252" s="5" t="s">
        <v>1987</v>
      </c>
      <c r="K252" s="5" t="s">
        <v>514</v>
      </c>
      <c r="L252" s="5" t="s">
        <v>515</v>
      </c>
      <c r="M252" s="5" t="s">
        <v>366</v>
      </c>
    </row>
    <row r="253" spans="1:13" ht="57" customHeight="1" x14ac:dyDescent="0.2">
      <c r="A253" s="5" t="s">
        <v>1988</v>
      </c>
      <c r="B253" s="5" t="s">
        <v>1989</v>
      </c>
      <c r="C253" s="5" t="s">
        <v>1990</v>
      </c>
      <c r="D253" s="5" t="s">
        <v>1991</v>
      </c>
      <c r="E253" s="5" t="s">
        <v>359</v>
      </c>
      <c r="F253" s="5" t="s">
        <v>1959</v>
      </c>
      <c r="G253" s="5" t="s">
        <v>1992</v>
      </c>
      <c r="H253" s="5" t="s">
        <v>1993</v>
      </c>
      <c r="I253" s="5" t="s">
        <v>362</v>
      </c>
      <c r="J253" s="5" t="s">
        <v>1994</v>
      </c>
      <c r="K253" s="5" t="s">
        <v>364</v>
      </c>
      <c r="L253" s="5" t="s">
        <v>1902</v>
      </c>
      <c r="M253" s="5" t="s">
        <v>366</v>
      </c>
    </row>
    <row r="254" spans="1:13" ht="57" customHeight="1" x14ac:dyDescent="0.2">
      <c r="A254" s="5" t="s">
        <v>1995</v>
      </c>
      <c r="B254" s="5" t="s">
        <v>1996</v>
      </c>
      <c r="C254" s="5" t="s">
        <v>1997</v>
      </c>
      <c r="D254" s="5" t="s">
        <v>1998</v>
      </c>
      <c r="E254" s="5" t="s">
        <v>359</v>
      </c>
      <c r="F254" s="5" t="s">
        <v>1959</v>
      </c>
      <c r="G254" s="5" t="s">
        <v>1999</v>
      </c>
      <c r="H254" s="5" t="s">
        <v>2000</v>
      </c>
      <c r="I254" s="5" t="s">
        <v>362</v>
      </c>
      <c r="J254" s="5" t="s">
        <v>2001</v>
      </c>
      <c r="K254" s="5" t="s">
        <v>402</v>
      </c>
      <c r="L254" s="5" t="s">
        <v>2002</v>
      </c>
      <c r="M254" s="5" t="s">
        <v>366</v>
      </c>
    </row>
    <row r="255" spans="1:13" ht="57" customHeight="1" x14ac:dyDescent="0.2">
      <c r="A255" s="5" t="s">
        <v>2003</v>
      </c>
      <c r="B255" s="5" t="s">
        <v>724</v>
      </c>
      <c r="C255" s="5" t="s">
        <v>2004</v>
      </c>
      <c r="D255" s="5" t="s">
        <v>2005</v>
      </c>
      <c r="E255" s="5" t="s">
        <v>359</v>
      </c>
      <c r="F255" s="5" t="s">
        <v>1959</v>
      </c>
      <c r="G255" s="5" t="s">
        <v>2006</v>
      </c>
      <c r="H255" s="5" t="s">
        <v>2007</v>
      </c>
      <c r="I255" s="5" t="s">
        <v>362</v>
      </c>
      <c r="J255" s="5" t="s">
        <v>729</v>
      </c>
      <c r="K255" s="5" t="s">
        <v>364</v>
      </c>
      <c r="L255" s="5" t="s">
        <v>730</v>
      </c>
      <c r="M255" s="5" t="s">
        <v>366</v>
      </c>
    </row>
    <row r="256" spans="1:13" ht="57" customHeight="1" x14ac:dyDescent="0.2">
      <c r="A256" s="5" t="s">
        <v>2008</v>
      </c>
      <c r="B256" s="5" t="s">
        <v>2009</v>
      </c>
      <c r="C256" s="5" t="s">
        <v>2010</v>
      </c>
      <c r="D256" s="5" t="s">
        <v>2011</v>
      </c>
      <c r="E256" s="5" t="s">
        <v>359</v>
      </c>
      <c r="F256" s="5" t="s">
        <v>1959</v>
      </c>
      <c r="G256" s="5" t="s">
        <v>2012</v>
      </c>
      <c r="H256" s="5" t="s">
        <v>2013</v>
      </c>
      <c r="I256" s="5" t="s">
        <v>362</v>
      </c>
      <c r="J256" s="5" t="s">
        <v>2014</v>
      </c>
      <c r="K256" s="5" t="s">
        <v>364</v>
      </c>
      <c r="L256" s="5" t="s">
        <v>2015</v>
      </c>
      <c r="M256" s="5" t="s">
        <v>366</v>
      </c>
    </row>
    <row r="257" spans="1:13" ht="57" customHeight="1" x14ac:dyDescent="0.2">
      <c r="A257" s="5" t="s">
        <v>2016</v>
      </c>
      <c r="B257" s="5" t="s">
        <v>698</v>
      </c>
      <c r="C257" s="5" t="s">
        <v>2017</v>
      </c>
      <c r="D257" s="5" t="s">
        <v>2018</v>
      </c>
      <c r="E257" s="5" t="s">
        <v>359</v>
      </c>
      <c r="F257" s="5" t="s">
        <v>1959</v>
      </c>
      <c r="G257" s="5" t="s">
        <v>2019</v>
      </c>
      <c r="H257" s="5" t="s">
        <v>2020</v>
      </c>
      <c r="I257" s="5" t="s">
        <v>390</v>
      </c>
      <c r="J257" s="5" t="s">
        <v>704</v>
      </c>
      <c r="K257" s="5" t="s">
        <v>392</v>
      </c>
      <c r="L257" s="5" t="s">
        <v>393</v>
      </c>
      <c r="M257" s="5" t="s">
        <v>705</v>
      </c>
    </row>
    <row r="258" spans="1:13" ht="72" customHeight="1" x14ac:dyDescent="0.2">
      <c r="A258" s="5" t="s">
        <v>2021</v>
      </c>
      <c r="B258" s="5" t="s">
        <v>2022</v>
      </c>
      <c r="C258" s="5" t="s">
        <v>2023</v>
      </c>
      <c r="D258" s="5" t="s">
        <v>2024</v>
      </c>
      <c r="E258" s="5" t="s">
        <v>359</v>
      </c>
      <c r="F258" s="5" t="s">
        <v>1959</v>
      </c>
      <c r="G258" s="5" t="s">
        <v>2025</v>
      </c>
      <c r="H258" s="5" t="s">
        <v>2026</v>
      </c>
      <c r="I258" s="5" t="s">
        <v>390</v>
      </c>
      <c r="J258" s="5" t="s">
        <v>2027</v>
      </c>
      <c r="K258" s="5" t="s">
        <v>514</v>
      </c>
      <c r="L258" s="5" t="s">
        <v>515</v>
      </c>
      <c r="M258" s="5" t="s">
        <v>366</v>
      </c>
    </row>
    <row r="259" spans="1:13" ht="72" customHeight="1" x14ac:dyDescent="0.2">
      <c r="A259" s="5" t="s">
        <v>2028</v>
      </c>
      <c r="B259" s="5" t="s">
        <v>2029</v>
      </c>
      <c r="C259" s="5" t="s">
        <v>2030</v>
      </c>
      <c r="D259" s="5" t="s">
        <v>2031</v>
      </c>
      <c r="E259" s="5" t="s">
        <v>359</v>
      </c>
      <c r="F259" s="5" t="s">
        <v>1959</v>
      </c>
      <c r="G259" s="5" t="s">
        <v>2032</v>
      </c>
      <c r="H259" s="5" t="s">
        <v>2033</v>
      </c>
      <c r="I259" s="5" t="s">
        <v>390</v>
      </c>
      <c r="J259" s="5" t="s">
        <v>2034</v>
      </c>
      <c r="K259" s="5" t="s">
        <v>514</v>
      </c>
      <c r="L259" s="5" t="s">
        <v>515</v>
      </c>
      <c r="M259" s="5" t="s">
        <v>366</v>
      </c>
    </row>
    <row r="260" spans="1:13" ht="57" customHeight="1" x14ac:dyDescent="0.2">
      <c r="A260" s="5" t="s">
        <v>2035</v>
      </c>
      <c r="B260" s="5" t="s">
        <v>2036</v>
      </c>
      <c r="C260" s="5" t="s">
        <v>2037</v>
      </c>
      <c r="D260" s="5" t="s">
        <v>2038</v>
      </c>
      <c r="E260" s="5" t="s">
        <v>359</v>
      </c>
      <c r="F260" s="5" t="s">
        <v>1959</v>
      </c>
      <c r="G260" s="5" t="s">
        <v>2039</v>
      </c>
      <c r="H260" s="5" t="s">
        <v>2040</v>
      </c>
      <c r="I260" s="5" t="s">
        <v>390</v>
      </c>
      <c r="J260" s="5" t="s">
        <v>2041</v>
      </c>
      <c r="K260" s="5" t="s">
        <v>364</v>
      </c>
      <c r="L260" s="5" t="s">
        <v>2042</v>
      </c>
      <c r="M260" s="5" t="s">
        <v>366</v>
      </c>
    </row>
    <row r="261" spans="1:13" ht="72" customHeight="1" x14ac:dyDescent="0.2">
      <c r="A261" s="5" t="s">
        <v>2043</v>
      </c>
      <c r="B261" s="5" t="s">
        <v>2044</v>
      </c>
      <c r="C261" s="5" t="s">
        <v>2045</v>
      </c>
      <c r="D261" s="5" t="s">
        <v>2046</v>
      </c>
      <c r="E261" s="5" t="s">
        <v>359</v>
      </c>
      <c r="F261" s="5" t="s">
        <v>1959</v>
      </c>
      <c r="G261" s="5" t="s">
        <v>2047</v>
      </c>
      <c r="H261" s="5" t="s">
        <v>2048</v>
      </c>
      <c r="I261" s="5" t="s">
        <v>362</v>
      </c>
      <c r="J261" s="5" t="s">
        <v>2049</v>
      </c>
      <c r="K261" s="5" t="s">
        <v>364</v>
      </c>
      <c r="L261" s="5" t="s">
        <v>2050</v>
      </c>
      <c r="M261" s="5" t="s">
        <v>366</v>
      </c>
    </row>
    <row r="262" spans="1:13" ht="57" customHeight="1" x14ac:dyDescent="0.2">
      <c r="A262" s="5" t="s">
        <v>2051</v>
      </c>
      <c r="B262" s="5" t="s">
        <v>565</v>
      </c>
      <c r="C262" s="5" t="s">
        <v>2052</v>
      </c>
      <c r="D262" s="5" t="s">
        <v>2053</v>
      </c>
      <c r="E262" s="5" t="s">
        <v>359</v>
      </c>
      <c r="F262" s="5" t="s">
        <v>1959</v>
      </c>
      <c r="G262" s="5" t="s">
        <v>2054</v>
      </c>
      <c r="H262" s="5" t="s">
        <v>2055</v>
      </c>
      <c r="I262" s="5" t="s">
        <v>362</v>
      </c>
      <c r="J262" s="5" t="s">
        <v>570</v>
      </c>
      <c r="K262" s="5" t="s">
        <v>571</v>
      </c>
      <c r="L262" s="5" t="s">
        <v>572</v>
      </c>
      <c r="M262" s="5" t="s">
        <v>573</v>
      </c>
    </row>
    <row r="263" spans="1:13" ht="57" customHeight="1" x14ac:dyDescent="0.2">
      <c r="A263" s="5" t="s">
        <v>2056</v>
      </c>
      <c r="B263" s="5" t="s">
        <v>2057</v>
      </c>
      <c r="C263" s="5" t="s">
        <v>2058</v>
      </c>
      <c r="D263" s="5" t="s">
        <v>2059</v>
      </c>
      <c r="E263" s="5" t="s">
        <v>359</v>
      </c>
      <c r="F263" s="5" t="s">
        <v>1959</v>
      </c>
      <c r="G263" s="5" t="s">
        <v>2060</v>
      </c>
      <c r="H263" s="5" t="s">
        <v>2061</v>
      </c>
      <c r="I263" s="5" t="s">
        <v>362</v>
      </c>
      <c r="J263" s="5" t="s">
        <v>2062</v>
      </c>
      <c r="K263" s="5" t="s">
        <v>364</v>
      </c>
      <c r="L263" s="5" t="s">
        <v>1949</v>
      </c>
      <c r="M263" s="5" t="s">
        <v>366</v>
      </c>
    </row>
    <row r="264" spans="1:13" ht="87" customHeight="1" x14ac:dyDescent="0.2">
      <c r="A264" s="5" t="s">
        <v>2063</v>
      </c>
      <c r="B264" s="5" t="s">
        <v>2064</v>
      </c>
      <c r="C264" s="5" t="s">
        <v>2065</v>
      </c>
      <c r="D264" s="5" t="s">
        <v>2066</v>
      </c>
      <c r="E264" s="5" t="s">
        <v>347</v>
      </c>
      <c r="F264" s="5" t="s">
        <v>2067</v>
      </c>
      <c r="G264" s="5"/>
      <c r="H264" s="5" t="s">
        <v>349</v>
      </c>
      <c r="I264" s="5" t="s">
        <v>350</v>
      </c>
      <c r="J264" s="5" t="s">
        <v>351</v>
      </c>
      <c r="K264" s="5" t="s">
        <v>352</v>
      </c>
      <c r="L264" s="5" t="s">
        <v>353</v>
      </c>
      <c r="M264" s="5" t="s">
        <v>2068</v>
      </c>
    </row>
    <row r="265" spans="1:13" ht="57" customHeight="1" x14ac:dyDescent="0.2">
      <c r="A265" s="5" t="s">
        <v>2069</v>
      </c>
      <c r="B265" s="5" t="s">
        <v>356</v>
      </c>
      <c r="C265" s="5" t="s">
        <v>2070</v>
      </c>
      <c r="D265" s="5" t="s">
        <v>2071</v>
      </c>
      <c r="E265" s="5" t="s">
        <v>359</v>
      </c>
      <c r="F265" s="5" t="s">
        <v>2067</v>
      </c>
      <c r="G265" s="5" t="s">
        <v>2072</v>
      </c>
      <c r="H265" s="5" t="s">
        <v>2073</v>
      </c>
      <c r="I265" s="5" t="s">
        <v>362</v>
      </c>
      <c r="J265" s="5" t="s">
        <v>363</v>
      </c>
      <c r="K265" s="5" t="s">
        <v>364</v>
      </c>
      <c r="L265" s="5" t="s">
        <v>365</v>
      </c>
      <c r="M265" s="5" t="s">
        <v>366</v>
      </c>
    </row>
    <row r="266" spans="1:13" ht="57" customHeight="1" x14ac:dyDescent="0.2">
      <c r="A266" s="5" t="s">
        <v>2074</v>
      </c>
      <c r="B266" s="5" t="s">
        <v>368</v>
      </c>
      <c r="C266" s="5" t="s">
        <v>2075</v>
      </c>
      <c r="D266" s="5" t="s">
        <v>2076</v>
      </c>
      <c r="E266" s="5" t="s">
        <v>359</v>
      </c>
      <c r="F266" s="5" t="s">
        <v>2067</v>
      </c>
      <c r="G266" s="5" t="s">
        <v>2077</v>
      </c>
      <c r="H266" s="5" t="s">
        <v>2078</v>
      </c>
      <c r="I266" s="5" t="s">
        <v>362</v>
      </c>
      <c r="J266" s="5" t="s">
        <v>373</v>
      </c>
      <c r="K266" s="5" t="s">
        <v>364</v>
      </c>
      <c r="L266" s="5" t="s">
        <v>374</v>
      </c>
      <c r="M266" s="5" t="s">
        <v>366</v>
      </c>
    </row>
    <row r="267" spans="1:13" ht="57" customHeight="1" x14ac:dyDescent="0.2">
      <c r="A267" s="5" t="s">
        <v>2079</v>
      </c>
      <c r="B267" s="5" t="s">
        <v>376</v>
      </c>
      <c r="C267" s="5" t="s">
        <v>2080</v>
      </c>
      <c r="D267" s="5" t="s">
        <v>2081</v>
      </c>
      <c r="E267" s="5" t="s">
        <v>359</v>
      </c>
      <c r="F267" s="5" t="s">
        <v>2067</v>
      </c>
      <c r="G267" s="5" t="s">
        <v>2082</v>
      </c>
      <c r="H267" s="5" t="s">
        <v>2083</v>
      </c>
      <c r="I267" s="5" t="s">
        <v>362</v>
      </c>
      <c r="J267" s="5" t="s">
        <v>381</v>
      </c>
      <c r="K267" s="5" t="s">
        <v>382</v>
      </c>
      <c r="L267" s="5" t="s">
        <v>383</v>
      </c>
      <c r="M267" s="5" t="s">
        <v>366</v>
      </c>
    </row>
    <row r="268" spans="1:13" ht="57" customHeight="1" x14ac:dyDescent="0.2">
      <c r="A268" s="5" t="s">
        <v>2084</v>
      </c>
      <c r="B268" s="5" t="s">
        <v>2085</v>
      </c>
      <c r="C268" s="5" t="s">
        <v>2086</v>
      </c>
      <c r="D268" s="5" t="s">
        <v>2087</v>
      </c>
      <c r="E268" s="5" t="s">
        <v>359</v>
      </c>
      <c r="F268" s="5" t="s">
        <v>2067</v>
      </c>
      <c r="G268" s="5" t="s">
        <v>2088</v>
      </c>
      <c r="H268" s="5" t="s">
        <v>2089</v>
      </c>
      <c r="I268" s="5" t="s">
        <v>362</v>
      </c>
      <c r="J268" s="5" t="s">
        <v>2090</v>
      </c>
      <c r="K268" s="5" t="s">
        <v>392</v>
      </c>
      <c r="L268" s="5" t="s">
        <v>393</v>
      </c>
      <c r="M268" s="5" t="s">
        <v>2091</v>
      </c>
    </row>
    <row r="269" spans="1:13" ht="57" customHeight="1" x14ac:dyDescent="0.2">
      <c r="A269" s="5" t="s">
        <v>2092</v>
      </c>
      <c r="B269" s="5" t="s">
        <v>966</v>
      </c>
      <c r="C269" s="5" t="s">
        <v>2093</v>
      </c>
      <c r="D269" s="5" t="s">
        <v>2094</v>
      </c>
      <c r="E269" s="5" t="s">
        <v>359</v>
      </c>
      <c r="F269" s="5" t="s">
        <v>2067</v>
      </c>
      <c r="G269" s="5" t="s">
        <v>2095</v>
      </c>
      <c r="H269" s="5" t="s">
        <v>2096</v>
      </c>
      <c r="I269" s="5" t="s">
        <v>390</v>
      </c>
      <c r="J269" s="5" t="s">
        <v>971</v>
      </c>
      <c r="K269" s="5" t="s">
        <v>392</v>
      </c>
      <c r="L269" s="5" t="s">
        <v>393</v>
      </c>
      <c r="M269" s="5" t="s">
        <v>972</v>
      </c>
    </row>
    <row r="270" spans="1:13" ht="57" customHeight="1" x14ac:dyDescent="0.2">
      <c r="A270" s="5" t="s">
        <v>2097</v>
      </c>
      <c r="B270" s="5" t="s">
        <v>2098</v>
      </c>
      <c r="C270" s="5" t="s">
        <v>2099</v>
      </c>
      <c r="D270" s="5" t="s">
        <v>2100</v>
      </c>
      <c r="E270" s="5" t="s">
        <v>359</v>
      </c>
      <c r="F270" s="5" t="s">
        <v>2067</v>
      </c>
      <c r="G270" s="5" t="s">
        <v>2101</v>
      </c>
      <c r="H270" s="5" t="s">
        <v>2102</v>
      </c>
      <c r="I270" s="5" t="s">
        <v>362</v>
      </c>
      <c r="J270" s="5" t="s">
        <v>2103</v>
      </c>
      <c r="K270" s="5" t="s">
        <v>364</v>
      </c>
      <c r="L270" s="5" t="s">
        <v>2104</v>
      </c>
      <c r="M270" s="5" t="s">
        <v>366</v>
      </c>
    </row>
    <row r="271" spans="1:13" ht="72" customHeight="1" x14ac:dyDescent="0.2">
      <c r="A271" s="5" t="s">
        <v>2105</v>
      </c>
      <c r="B271" s="5" t="s">
        <v>2106</v>
      </c>
      <c r="C271" s="5" t="s">
        <v>2107</v>
      </c>
      <c r="D271" s="5" t="s">
        <v>2108</v>
      </c>
      <c r="E271" s="5" t="s">
        <v>359</v>
      </c>
      <c r="F271" s="5" t="s">
        <v>2067</v>
      </c>
      <c r="G271" s="5" t="s">
        <v>2109</v>
      </c>
      <c r="H271" s="5" t="s">
        <v>2110</v>
      </c>
      <c r="I271" s="5" t="s">
        <v>362</v>
      </c>
      <c r="J271" s="5" t="s">
        <v>2111</v>
      </c>
      <c r="K271" s="5" t="s">
        <v>364</v>
      </c>
      <c r="L271" s="5" t="s">
        <v>2112</v>
      </c>
      <c r="M271" s="5" t="s">
        <v>366</v>
      </c>
    </row>
    <row r="272" spans="1:13" ht="57" customHeight="1" x14ac:dyDescent="0.2">
      <c r="A272" s="5" t="s">
        <v>2113</v>
      </c>
      <c r="B272" s="5" t="s">
        <v>2114</v>
      </c>
      <c r="C272" s="5" t="s">
        <v>2115</v>
      </c>
      <c r="D272" s="5" t="s">
        <v>2116</v>
      </c>
      <c r="E272" s="5" t="s">
        <v>359</v>
      </c>
      <c r="F272" s="5" t="s">
        <v>2067</v>
      </c>
      <c r="G272" s="5" t="s">
        <v>2117</v>
      </c>
      <c r="H272" s="5" t="s">
        <v>2118</v>
      </c>
      <c r="I272" s="5" t="s">
        <v>362</v>
      </c>
      <c r="J272" s="5" t="s">
        <v>2119</v>
      </c>
      <c r="K272" s="5" t="s">
        <v>402</v>
      </c>
      <c r="L272" s="5" t="s">
        <v>2120</v>
      </c>
      <c r="M272" s="5" t="s">
        <v>366</v>
      </c>
    </row>
    <row r="273" spans="1:13" ht="72" customHeight="1" x14ac:dyDescent="0.2">
      <c r="A273" s="5" t="s">
        <v>2121</v>
      </c>
      <c r="B273" s="5" t="s">
        <v>2122</v>
      </c>
      <c r="C273" s="5" t="s">
        <v>2123</v>
      </c>
      <c r="D273" s="5" t="s">
        <v>2124</v>
      </c>
      <c r="E273" s="5" t="s">
        <v>359</v>
      </c>
      <c r="F273" s="5" t="s">
        <v>2067</v>
      </c>
      <c r="G273" s="5" t="s">
        <v>2125</v>
      </c>
      <c r="H273" s="5" t="s">
        <v>2126</v>
      </c>
      <c r="I273" s="5" t="s">
        <v>362</v>
      </c>
      <c r="J273" s="5" t="s">
        <v>2127</v>
      </c>
      <c r="K273" s="5" t="s">
        <v>364</v>
      </c>
      <c r="L273" s="5" t="s">
        <v>2128</v>
      </c>
      <c r="M273" s="5" t="s">
        <v>366</v>
      </c>
    </row>
    <row r="274" spans="1:13" ht="87" customHeight="1" x14ac:dyDescent="0.2">
      <c r="A274" s="5" t="s">
        <v>2129</v>
      </c>
      <c r="B274" s="5" t="s">
        <v>2130</v>
      </c>
      <c r="C274" s="5" t="s">
        <v>2131</v>
      </c>
      <c r="D274" s="5" t="s">
        <v>2132</v>
      </c>
      <c r="E274" s="5" t="s">
        <v>347</v>
      </c>
      <c r="F274" s="5" t="s">
        <v>2133</v>
      </c>
      <c r="G274" s="5"/>
      <c r="H274" s="5" t="s">
        <v>349</v>
      </c>
      <c r="I274" s="5" t="s">
        <v>350</v>
      </c>
      <c r="J274" s="5" t="s">
        <v>351</v>
      </c>
      <c r="K274" s="5" t="s">
        <v>352</v>
      </c>
      <c r="L274" s="5" t="s">
        <v>353</v>
      </c>
      <c r="M274" s="5" t="s">
        <v>2134</v>
      </c>
    </row>
    <row r="275" spans="1:13" ht="57" customHeight="1" x14ac:dyDescent="0.2">
      <c r="A275" s="5" t="s">
        <v>2135</v>
      </c>
      <c r="B275" s="5" t="s">
        <v>356</v>
      </c>
      <c r="C275" s="5" t="s">
        <v>2136</v>
      </c>
      <c r="D275" s="5" t="s">
        <v>2137</v>
      </c>
      <c r="E275" s="5" t="s">
        <v>359</v>
      </c>
      <c r="F275" s="5" t="s">
        <v>2133</v>
      </c>
      <c r="G275" s="5" t="s">
        <v>2138</v>
      </c>
      <c r="H275" s="5" t="s">
        <v>2139</v>
      </c>
      <c r="I275" s="5" t="s">
        <v>362</v>
      </c>
      <c r="J275" s="5" t="s">
        <v>363</v>
      </c>
      <c r="K275" s="5" t="s">
        <v>364</v>
      </c>
      <c r="L275" s="5" t="s">
        <v>365</v>
      </c>
      <c r="M275" s="5" t="s">
        <v>366</v>
      </c>
    </row>
    <row r="276" spans="1:13" ht="57" customHeight="1" x14ac:dyDescent="0.2">
      <c r="A276" s="5" t="s">
        <v>2140</v>
      </c>
      <c r="B276" s="5" t="s">
        <v>368</v>
      </c>
      <c r="C276" s="5" t="s">
        <v>2141</v>
      </c>
      <c r="D276" s="5" t="s">
        <v>2142</v>
      </c>
      <c r="E276" s="5" t="s">
        <v>359</v>
      </c>
      <c r="F276" s="5" t="s">
        <v>2133</v>
      </c>
      <c r="G276" s="5" t="s">
        <v>2143</v>
      </c>
      <c r="H276" s="5" t="s">
        <v>2144</v>
      </c>
      <c r="I276" s="5" t="s">
        <v>362</v>
      </c>
      <c r="J276" s="5" t="s">
        <v>373</v>
      </c>
      <c r="K276" s="5" t="s">
        <v>364</v>
      </c>
      <c r="L276" s="5" t="s">
        <v>374</v>
      </c>
      <c r="M276" s="5" t="s">
        <v>366</v>
      </c>
    </row>
    <row r="277" spans="1:13" ht="57" customHeight="1" x14ac:dyDescent="0.2">
      <c r="A277" s="5" t="s">
        <v>2145</v>
      </c>
      <c r="B277" s="5" t="s">
        <v>376</v>
      </c>
      <c r="C277" s="5" t="s">
        <v>2146</v>
      </c>
      <c r="D277" s="5" t="s">
        <v>2147</v>
      </c>
      <c r="E277" s="5" t="s">
        <v>359</v>
      </c>
      <c r="F277" s="5" t="s">
        <v>2133</v>
      </c>
      <c r="G277" s="5" t="s">
        <v>2148</v>
      </c>
      <c r="H277" s="5" t="s">
        <v>2149</v>
      </c>
      <c r="I277" s="5" t="s">
        <v>362</v>
      </c>
      <c r="J277" s="5" t="s">
        <v>381</v>
      </c>
      <c r="K277" s="5" t="s">
        <v>382</v>
      </c>
      <c r="L277" s="5" t="s">
        <v>383</v>
      </c>
      <c r="M277" s="5" t="s">
        <v>366</v>
      </c>
    </row>
    <row r="278" spans="1:13" ht="57" customHeight="1" x14ac:dyDescent="0.2">
      <c r="A278" s="5" t="s">
        <v>2150</v>
      </c>
      <c r="B278" s="5" t="s">
        <v>1295</v>
      </c>
      <c r="C278" s="5" t="s">
        <v>2151</v>
      </c>
      <c r="D278" s="5" t="s">
        <v>2152</v>
      </c>
      <c r="E278" s="5" t="s">
        <v>359</v>
      </c>
      <c r="F278" s="5" t="s">
        <v>2133</v>
      </c>
      <c r="G278" s="5" t="s">
        <v>2153</v>
      </c>
      <c r="H278" s="5" t="s">
        <v>2154</v>
      </c>
      <c r="I278" s="5" t="s">
        <v>362</v>
      </c>
      <c r="J278" s="5" t="s">
        <v>1300</v>
      </c>
      <c r="K278" s="5" t="s">
        <v>392</v>
      </c>
      <c r="L278" s="5" t="s">
        <v>393</v>
      </c>
      <c r="M278" s="5" t="s">
        <v>1301</v>
      </c>
    </row>
    <row r="279" spans="1:13" ht="57" customHeight="1" x14ac:dyDescent="0.2">
      <c r="A279" s="5" t="s">
        <v>2155</v>
      </c>
      <c r="B279" s="5" t="s">
        <v>966</v>
      </c>
      <c r="C279" s="5" t="s">
        <v>2156</v>
      </c>
      <c r="D279" s="5" t="s">
        <v>2157</v>
      </c>
      <c r="E279" s="5" t="s">
        <v>359</v>
      </c>
      <c r="F279" s="5" t="s">
        <v>2133</v>
      </c>
      <c r="G279" s="5" t="s">
        <v>2158</v>
      </c>
      <c r="H279" s="5" t="s">
        <v>2159</v>
      </c>
      <c r="I279" s="5" t="s">
        <v>390</v>
      </c>
      <c r="J279" s="5" t="s">
        <v>971</v>
      </c>
      <c r="K279" s="5" t="s">
        <v>392</v>
      </c>
      <c r="L279" s="5" t="s">
        <v>393</v>
      </c>
      <c r="M279" s="5" t="s">
        <v>972</v>
      </c>
    </row>
    <row r="280" spans="1:13" ht="72" customHeight="1" x14ac:dyDescent="0.2">
      <c r="A280" s="5" t="s">
        <v>2160</v>
      </c>
      <c r="B280" s="5" t="s">
        <v>2161</v>
      </c>
      <c r="C280" s="5" t="s">
        <v>2162</v>
      </c>
      <c r="D280" s="5" t="s">
        <v>2163</v>
      </c>
      <c r="E280" s="5" t="s">
        <v>359</v>
      </c>
      <c r="F280" s="5" t="s">
        <v>2133</v>
      </c>
      <c r="G280" s="5" t="s">
        <v>2164</v>
      </c>
      <c r="H280" s="5" t="s">
        <v>2165</v>
      </c>
      <c r="I280" s="5" t="s">
        <v>362</v>
      </c>
      <c r="J280" s="5" t="s">
        <v>2166</v>
      </c>
      <c r="K280" s="5" t="s">
        <v>364</v>
      </c>
      <c r="L280" s="5" t="s">
        <v>2167</v>
      </c>
      <c r="M280" s="5" t="s">
        <v>366</v>
      </c>
    </row>
    <row r="281" spans="1:13" ht="72" customHeight="1" x14ac:dyDescent="0.2">
      <c r="A281" s="5" t="s">
        <v>2168</v>
      </c>
      <c r="B281" s="5" t="s">
        <v>2169</v>
      </c>
      <c r="C281" s="5" t="s">
        <v>2170</v>
      </c>
      <c r="D281" s="5" t="s">
        <v>2171</v>
      </c>
      <c r="E281" s="5" t="s">
        <v>359</v>
      </c>
      <c r="F281" s="5" t="s">
        <v>2133</v>
      </c>
      <c r="G281" s="5" t="s">
        <v>2172</v>
      </c>
      <c r="H281" s="5" t="s">
        <v>2173</v>
      </c>
      <c r="I281" s="5" t="s">
        <v>362</v>
      </c>
      <c r="J281" s="5" t="s">
        <v>2174</v>
      </c>
      <c r="K281" s="5" t="s">
        <v>364</v>
      </c>
      <c r="L281" s="5" t="s">
        <v>2175</v>
      </c>
      <c r="M281" s="5" t="s">
        <v>366</v>
      </c>
    </row>
    <row r="282" spans="1:13" ht="87" customHeight="1" x14ac:dyDescent="0.2">
      <c r="A282" s="5" t="s">
        <v>2176</v>
      </c>
      <c r="B282" s="5" t="s">
        <v>2177</v>
      </c>
      <c r="C282" s="5" t="s">
        <v>2178</v>
      </c>
      <c r="D282" s="5" t="s">
        <v>2179</v>
      </c>
      <c r="E282" s="5" t="s">
        <v>347</v>
      </c>
      <c r="F282" s="5" t="s">
        <v>2180</v>
      </c>
      <c r="G282" s="5"/>
      <c r="H282" s="5" t="s">
        <v>349</v>
      </c>
      <c r="I282" s="5" t="s">
        <v>350</v>
      </c>
      <c r="J282" s="5" t="s">
        <v>351</v>
      </c>
      <c r="K282" s="5" t="s">
        <v>352</v>
      </c>
      <c r="L282" s="5" t="s">
        <v>353</v>
      </c>
      <c r="M282" s="5" t="s">
        <v>2181</v>
      </c>
    </row>
    <row r="283" spans="1:13" ht="57" customHeight="1" x14ac:dyDescent="0.2">
      <c r="A283" s="5" t="s">
        <v>2182</v>
      </c>
      <c r="B283" s="5" t="s">
        <v>356</v>
      </c>
      <c r="C283" s="5" t="s">
        <v>2183</v>
      </c>
      <c r="D283" s="5" t="s">
        <v>2184</v>
      </c>
      <c r="E283" s="5" t="s">
        <v>359</v>
      </c>
      <c r="F283" s="5" t="s">
        <v>2180</v>
      </c>
      <c r="G283" s="5" t="s">
        <v>2185</v>
      </c>
      <c r="H283" s="5" t="s">
        <v>2186</v>
      </c>
      <c r="I283" s="5" t="s">
        <v>362</v>
      </c>
      <c r="J283" s="5" t="s">
        <v>363</v>
      </c>
      <c r="K283" s="5" t="s">
        <v>364</v>
      </c>
      <c r="L283" s="5" t="s">
        <v>365</v>
      </c>
      <c r="M283" s="5" t="s">
        <v>366</v>
      </c>
    </row>
    <row r="284" spans="1:13" ht="57" customHeight="1" x14ac:dyDescent="0.2">
      <c r="A284" s="5" t="s">
        <v>2187</v>
      </c>
      <c r="B284" s="5" t="s">
        <v>368</v>
      </c>
      <c r="C284" s="5" t="s">
        <v>2188</v>
      </c>
      <c r="D284" s="5" t="s">
        <v>2189</v>
      </c>
      <c r="E284" s="5" t="s">
        <v>359</v>
      </c>
      <c r="F284" s="5" t="s">
        <v>2180</v>
      </c>
      <c r="G284" s="5" t="s">
        <v>2190</v>
      </c>
      <c r="H284" s="5" t="s">
        <v>2191</v>
      </c>
      <c r="I284" s="5" t="s">
        <v>362</v>
      </c>
      <c r="J284" s="5" t="s">
        <v>373</v>
      </c>
      <c r="K284" s="5" t="s">
        <v>364</v>
      </c>
      <c r="L284" s="5" t="s">
        <v>374</v>
      </c>
      <c r="M284" s="5" t="s">
        <v>366</v>
      </c>
    </row>
    <row r="285" spans="1:13" ht="57" customHeight="1" x14ac:dyDescent="0.2">
      <c r="A285" s="5" t="s">
        <v>2192</v>
      </c>
      <c r="B285" s="5" t="s">
        <v>376</v>
      </c>
      <c r="C285" s="5" t="s">
        <v>2193</v>
      </c>
      <c r="D285" s="5" t="s">
        <v>2194</v>
      </c>
      <c r="E285" s="5" t="s">
        <v>359</v>
      </c>
      <c r="F285" s="5" t="s">
        <v>2180</v>
      </c>
      <c r="G285" s="5" t="s">
        <v>2195</v>
      </c>
      <c r="H285" s="5" t="s">
        <v>2196</v>
      </c>
      <c r="I285" s="5" t="s">
        <v>362</v>
      </c>
      <c r="J285" s="5" t="s">
        <v>381</v>
      </c>
      <c r="K285" s="5" t="s">
        <v>382</v>
      </c>
      <c r="L285" s="5" t="s">
        <v>383</v>
      </c>
      <c r="M285" s="5" t="s">
        <v>366</v>
      </c>
    </row>
    <row r="286" spans="1:13" ht="57" customHeight="1" x14ac:dyDescent="0.2">
      <c r="A286" s="5" t="s">
        <v>2197</v>
      </c>
      <c r="B286" s="5" t="s">
        <v>1295</v>
      </c>
      <c r="C286" s="5" t="s">
        <v>2198</v>
      </c>
      <c r="D286" s="5" t="s">
        <v>2199</v>
      </c>
      <c r="E286" s="5" t="s">
        <v>359</v>
      </c>
      <c r="F286" s="5" t="s">
        <v>2180</v>
      </c>
      <c r="G286" s="5" t="s">
        <v>2200</v>
      </c>
      <c r="H286" s="5" t="s">
        <v>2201</v>
      </c>
      <c r="I286" s="5" t="s">
        <v>362</v>
      </c>
      <c r="J286" s="5" t="s">
        <v>1300</v>
      </c>
      <c r="K286" s="5" t="s">
        <v>392</v>
      </c>
      <c r="L286" s="5" t="s">
        <v>393</v>
      </c>
      <c r="M286" s="5" t="s">
        <v>1301</v>
      </c>
    </row>
    <row r="287" spans="1:13" ht="57" customHeight="1" x14ac:dyDescent="0.2">
      <c r="A287" s="5" t="s">
        <v>2202</v>
      </c>
      <c r="B287" s="5" t="s">
        <v>2203</v>
      </c>
      <c r="C287" s="5" t="s">
        <v>2204</v>
      </c>
      <c r="D287" s="5" t="s">
        <v>2205</v>
      </c>
      <c r="E287" s="5" t="s">
        <v>359</v>
      </c>
      <c r="F287" s="5" t="s">
        <v>2180</v>
      </c>
      <c r="G287" s="5" t="s">
        <v>2206</v>
      </c>
      <c r="H287" s="5" t="s">
        <v>2207</v>
      </c>
      <c r="I287" s="5" t="s">
        <v>362</v>
      </c>
      <c r="J287" s="5" t="s">
        <v>2208</v>
      </c>
      <c r="K287" s="5" t="s">
        <v>392</v>
      </c>
      <c r="L287" s="5" t="s">
        <v>393</v>
      </c>
      <c r="M287" s="5" t="s">
        <v>2209</v>
      </c>
    </row>
    <row r="288" spans="1:13" ht="72" customHeight="1" x14ac:dyDescent="0.2">
      <c r="A288" s="5" t="s">
        <v>2210</v>
      </c>
      <c r="B288" s="5" t="s">
        <v>2211</v>
      </c>
      <c r="C288" s="5" t="s">
        <v>2212</v>
      </c>
      <c r="D288" s="5" t="s">
        <v>2213</v>
      </c>
      <c r="E288" s="5" t="s">
        <v>359</v>
      </c>
      <c r="F288" s="5" t="s">
        <v>2180</v>
      </c>
      <c r="G288" s="5" t="s">
        <v>2214</v>
      </c>
      <c r="H288" s="5" t="s">
        <v>2215</v>
      </c>
      <c r="I288" s="5" t="s">
        <v>362</v>
      </c>
      <c r="J288" s="5" t="s">
        <v>2216</v>
      </c>
      <c r="K288" s="5" t="s">
        <v>364</v>
      </c>
      <c r="L288" s="5" t="s">
        <v>2217</v>
      </c>
      <c r="M288" s="5" t="s">
        <v>366</v>
      </c>
    </row>
    <row r="289" spans="1:13" ht="72" customHeight="1" x14ac:dyDescent="0.2">
      <c r="A289" s="5" t="s">
        <v>2218</v>
      </c>
      <c r="B289" s="5" t="s">
        <v>2219</v>
      </c>
      <c r="C289" s="5" t="s">
        <v>2220</v>
      </c>
      <c r="D289" s="5" t="s">
        <v>2221</v>
      </c>
      <c r="E289" s="5" t="s">
        <v>359</v>
      </c>
      <c r="F289" s="5" t="s">
        <v>2180</v>
      </c>
      <c r="G289" s="5" t="s">
        <v>2222</v>
      </c>
      <c r="H289" s="5" t="s">
        <v>2223</v>
      </c>
      <c r="I289" s="5" t="s">
        <v>362</v>
      </c>
      <c r="J289" s="5" t="s">
        <v>2224</v>
      </c>
      <c r="K289" s="5" t="s">
        <v>514</v>
      </c>
      <c r="L289" s="5" t="s">
        <v>515</v>
      </c>
      <c r="M289" s="5" t="s">
        <v>366</v>
      </c>
    </row>
    <row r="290" spans="1:13" ht="72" customHeight="1" x14ac:dyDescent="0.2">
      <c r="A290" s="5" t="s">
        <v>2225</v>
      </c>
      <c r="B290" s="5" t="s">
        <v>2226</v>
      </c>
      <c r="C290" s="5" t="s">
        <v>2227</v>
      </c>
      <c r="D290" s="5" t="s">
        <v>2228</v>
      </c>
      <c r="E290" s="5" t="s">
        <v>359</v>
      </c>
      <c r="F290" s="5" t="s">
        <v>2180</v>
      </c>
      <c r="G290" s="5" t="s">
        <v>2229</v>
      </c>
      <c r="H290" s="5" t="s">
        <v>2230</v>
      </c>
      <c r="I290" s="5" t="s">
        <v>390</v>
      </c>
      <c r="J290" s="5" t="s">
        <v>2231</v>
      </c>
      <c r="K290" s="5" t="s">
        <v>514</v>
      </c>
      <c r="L290" s="5" t="s">
        <v>515</v>
      </c>
      <c r="M290" s="5" t="s">
        <v>366</v>
      </c>
    </row>
    <row r="291" spans="1:13" ht="72" customHeight="1" x14ac:dyDescent="0.2">
      <c r="A291" s="5" t="s">
        <v>2232</v>
      </c>
      <c r="B291" s="5" t="s">
        <v>2233</v>
      </c>
      <c r="C291" s="5" t="s">
        <v>2234</v>
      </c>
      <c r="D291" s="5" t="s">
        <v>2235</v>
      </c>
      <c r="E291" s="5" t="s">
        <v>359</v>
      </c>
      <c r="F291" s="5" t="s">
        <v>2180</v>
      </c>
      <c r="G291" s="5" t="s">
        <v>2236</v>
      </c>
      <c r="H291" s="5" t="s">
        <v>2237</v>
      </c>
      <c r="I291" s="5" t="s">
        <v>362</v>
      </c>
      <c r="J291" s="5" t="s">
        <v>2238</v>
      </c>
      <c r="K291" s="5" t="s">
        <v>364</v>
      </c>
      <c r="L291" s="5" t="s">
        <v>2239</v>
      </c>
      <c r="M291" s="5" t="s">
        <v>366</v>
      </c>
    </row>
    <row r="292" spans="1:13" ht="87" customHeight="1" x14ac:dyDescent="0.2">
      <c r="A292" s="5" t="s">
        <v>2240</v>
      </c>
      <c r="B292" s="5" t="s">
        <v>2241</v>
      </c>
      <c r="C292" s="5" t="s">
        <v>2242</v>
      </c>
      <c r="D292" s="5" t="s">
        <v>2243</v>
      </c>
      <c r="E292" s="5" t="s">
        <v>347</v>
      </c>
      <c r="F292" s="5" t="s">
        <v>2244</v>
      </c>
      <c r="G292" s="5"/>
      <c r="H292" s="5" t="s">
        <v>349</v>
      </c>
      <c r="I292" s="5" t="s">
        <v>350</v>
      </c>
      <c r="J292" s="5" t="s">
        <v>351</v>
      </c>
      <c r="K292" s="5" t="s">
        <v>352</v>
      </c>
      <c r="L292" s="5" t="s">
        <v>353</v>
      </c>
      <c r="M292" s="5" t="s">
        <v>2245</v>
      </c>
    </row>
    <row r="293" spans="1:13" ht="57" customHeight="1" x14ac:dyDescent="0.2">
      <c r="A293" s="5" t="s">
        <v>2246</v>
      </c>
      <c r="B293" s="5" t="s">
        <v>356</v>
      </c>
      <c r="C293" s="5" t="s">
        <v>2247</v>
      </c>
      <c r="D293" s="5" t="s">
        <v>2248</v>
      </c>
      <c r="E293" s="5" t="s">
        <v>359</v>
      </c>
      <c r="F293" s="5" t="s">
        <v>2244</v>
      </c>
      <c r="G293" s="5" t="s">
        <v>2249</v>
      </c>
      <c r="H293" s="5" t="s">
        <v>2250</v>
      </c>
      <c r="I293" s="5" t="s">
        <v>362</v>
      </c>
      <c r="J293" s="5" t="s">
        <v>363</v>
      </c>
      <c r="K293" s="5" t="s">
        <v>364</v>
      </c>
      <c r="L293" s="5" t="s">
        <v>365</v>
      </c>
      <c r="M293" s="5" t="s">
        <v>366</v>
      </c>
    </row>
    <row r="294" spans="1:13" ht="57" customHeight="1" x14ac:dyDescent="0.2">
      <c r="A294" s="5" t="s">
        <v>2251</v>
      </c>
      <c r="B294" s="5" t="s">
        <v>368</v>
      </c>
      <c r="C294" s="5" t="s">
        <v>2252</v>
      </c>
      <c r="D294" s="5" t="s">
        <v>2253</v>
      </c>
      <c r="E294" s="5" t="s">
        <v>359</v>
      </c>
      <c r="F294" s="5" t="s">
        <v>2244</v>
      </c>
      <c r="G294" s="5" t="s">
        <v>2254</v>
      </c>
      <c r="H294" s="5" t="s">
        <v>2255</v>
      </c>
      <c r="I294" s="5" t="s">
        <v>362</v>
      </c>
      <c r="J294" s="5" t="s">
        <v>373</v>
      </c>
      <c r="K294" s="5" t="s">
        <v>364</v>
      </c>
      <c r="L294" s="5" t="s">
        <v>374</v>
      </c>
      <c r="M294" s="5" t="s">
        <v>366</v>
      </c>
    </row>
    <row r="295" spans="1:13" ht="57" customHeight="1" x14ac:dyDescent="0.2">
      <c r="A295" s="5" t="s">
        <v>2256</v>
      </c>
      <c r="B295" s="5" t="s">
        <v>376</v>
      </c>
      <c r="C295" s="5" t="s">
        <v>2257</v>
      </c>
      <c r="D295" s="5" t="s">
        <v>2258</v>
      </c>
      <c r="E295" s="5" t="s">
        <v>359</v>
      </c>
      <c r="F295" s="5" t="s">
        <v>2244</v>
      </c>
      <c r="G295" s="5" t="s">
        <v>2259</v>
      </c>
      <c r="H295" s="5" t="s">
        <v>2260</v>
      </c>
      <c r="I295" s="5" t="s">
        <v>362</v>
      </c>
      <c r="J295" s="5" t="s">
        <v>381</v>
      </c>
      <c r="K295" s="5" t="s">
        <v>382</v>
      </c>
      <c r="L295" s="5" t="s">
        <v>383</v>
      </c>
      <c r="M295" s="5" t="s">
        <v>366</v>
      </c>
    </row>
    <row r="296" spans="1:13" ht="57" customHeight="1" x14ac:dyDescent="0.2">
      <c r="A296" s="5" t="s">
        <v>2261</v>
      </c>
      <c r="B296" s="5" t="s">
        <v>2203</v>
      </c>
      <c r="C296" s="5" t="s">
        <v>2262</v>
      </c>
      <c r="D296" s="5" t="s">
        <v>2263</v>
      </c>
      <c r="E296" s="5" t="s">
        <v>359</v>
      </c>
      <c r="F296" s="5" t="s">
        <v>2244</v>
      </c>
      <c r="G296" s="5" t="s">
        <v>2264</v>
      </c>
      <c r="H296" s="5" t="s">
        <v>2265</v>
      </c>
      <c r="I296" s="5" t="s">
        <v>362</v>
      </c>
      <c r="J296" s="5" t="s">
        <v>2208</v>
      </c>
      <c r="K296" s="5" t="s">
        <v>392</v>
      </c>
      <c r="L296" s="5" t="s">
        <v>393</v>
      </c>
      <c r="M296" s="5" t="s">
        <v>2209</v>
      </c>
    </row>
    <row r="297" spans="1:13" ht="57" customHeight="1" x14ac:dyDescent="0.2">
      <c r="A297" s="5" t="s">
        <v>2266</v>
      </c>
      <c r="B297" s="5" t="s">
        <v>420</v>
      </c>
      <c r="C297" s="5" t="s">
        <v>2267</v>
      </c>
      <c r="D297" s="5" t="s">
        <v>2268</v>
      </c>
      <c r="E297" s="5" t="s">
        <v>359</v>
      </c>
      <c r="F297" s="5" t="s">
        <v>2244</v>
      </c>
      <c r="G297" s="5" t="s">
        <v>2269</v>
      </c>
      <c r="H297" s="5" t="s">
        <v>2270</v>
      </c>
      <c r="I297" s="5" t="s">
        <v>362</v>
      </c>
      <c r="J297" s="5" t="s">
        <v>425</v>
      </c>
      <c r="K297" s="5" t="s">
        <v>392</v>
      </c>
      <c r="L297" s="5" t="s">
        <v>393</v>
      </c>
      <c r="M297" s="5" t="s">
        <v>426</v>
      </c>
    </row>
    <row r="298" spans="1:13" ht="57" customHeight="1" x14ac:dyDescent="0.2">
      <c r="A298" s="5" t="s">
        <v>2271</v>
      </c>
      <c r="B298" s="5" t="s">
        <v>2272</v>
      </c>
      <c r="C298" s="5" t="s">
        <v>2273</v>
      </c>
      <c r="D298" s="5" t="s">
        <v>2274</v>
      </c>
      <c r="E298" s="5" t="s">
        <v>359</v>
      </c>
      <c r="F298" s="5" t="s">
        <v>2244</v>
      </c>
      <c r="G298" s="5" t="s">
        <v>2275</v>
      </c>
      <c r="H298" s="5" t="s">
        <v>2276</v>
      </c>
      <c r="I298" s="5" t="s">
        <v>362</v>
      </c>
      <c r="J298" s="5" t="s">
        <v>2277</v>
      </c>
      <c r="K298" s="5" t="s">
        <v>402</v>
      </c>
      <c r="L298" s="5" t="s">
        <v>2278</v>
      </c>
      <c r="M298" s="5" t="s">
        <v>366</v>
      </c>
    </row>
    <row r="299" spans="1:13" ht="57" customHeight="1" x14ac:dyDescent="0.2">
      <c r="A299" s="5" t="s">
        <v>2279</v>
      </c>
      <c r="B299" s="5" t="s">
        <v>1700</v>
      </c>
      <c r="C299" s="5" t="s">
        <v>2280</v>
      </c>
      <c r="D299" s="5" t="s">
        <v>2281</v>
      </c>
      <c r="E299" s="5" t="s">
        <v>359</v>
      </c>
      <c r="F299" s="5" t="s">
        <v>2244</v>
      </c>
      <c r="G299" s="5" t="s">
        <v>2282</v>
      </c>
      <c r="H299" s="5" t="s">
        <v>2283</v>
      </c>
      <c r="I299" s="5" t="s">
        <v>362</v>
      </c>
      <c r="J299" s="5" t="s">
        <v>1705</v>
      </c>
      <c r="K299" s="5" t="s">
        <v>571</v>
      </c>
      <c r="L299" s="5" t="s">
        <v>572</v>
      </c>
      <c r="M299" s="5" t="s">
        <v>1530</v>
      </c>
    </row>
    <row r="300" spans="1:13" ht="72" customHeight="1" x14ac:dyDescent="0.2">
      <c r="A300" s="5" t="s">
        <v>2284</v>
      </c>
      <c r="B300" s="5" t="s">
        <v>2285</v>
      </c>
      <c r="C300" s="5" t="s">
        <v>2286</v>
      </c>
      <c r="D300" s="5" t="s">
        <v>2287</v>
      </c>
      <c r="E300" s="5" t="s">
        <v>359</v>
      </c>
      <c r="F300" s="5" t="s">
        <v>2244</v>
      </c>
      <c r="G300" s="5" t="s">
        <v>2288</v>
      </c>
      <c r="H300" s="5" t="s">
        <v>2289</v>
      </c>
      <c r="I300" s="5" t="s">
        <v>362</v>
      </c>
      <c r="J300" s="5" t="s">
        <v>2290</v>
      </c>
      <c r="K300" s="5" t="s">
        <v>364</v>
      </c>
      <c r="L300" s="5" t="s">
        <v>2291</v>
      </c>
      <c r="M300" s="5" t="s">
        <v>366</v>
      </c>
    </row>
    <row r="301" spans="1:13" ht="72" customHeight="1" x14ac:dyDescent="0.2">
      <c r="A301" s="5" t="s">
        <v>2292</v>
      </c>
      <c r="B301" s="5" t="s">
        <v>2293</v>
      </c>
      <c r="C301" s="5" t="s">
        <v>2294</v>
      </c>
      <c r="D301" s="5" t="s">
        <v>2295</v>
      </c>
      <c r="E301" s="5" t="s">
        <v>359</v>
      </c>
      <c r="F301" s="5" t="s">
        <v>2244</v>
      </c>
      <c r="G301" s="5" t="s">
        <v>2296</v>
      </c>
      <c r="H301" s="5" t="s">
        <v>2297</v>
      </c>
      <c r="I301" s="5" t="s">
        <v>362</v>
      </c>
      <c r="J301" s="5" t="s">
        <v>2298</v>
      </c>
      <c r="K301" s="5" t="s">
        <v>364</v>
      </c>
      <c r="L301" s="5" t="s">
        <v>2299</v>
      </c>
      <c r="M301" s="5" t="s">
        <v>366</v>
      </c>
    </row>
    <row r="302" spans="1:13" ht="87" customHeight="1" x14ac:dyDescent="0.2">
      <c r="A302" s="5" t="s">
        <v>2300</v>
      </c>
      <c r="B302" s="5" t="s">
        <v>2301</v>
      </c>
      <c r="C302" s="5" t="s">
        <v>2302</v>
      </c>
      <c r="D302" s="5" t="s">
        <v>2303</v>
      </c>
      <c r="E302" s="5" t="s">
        <v>347</v>
      </c>
      <c r="F302" s="5" t="s">
        <v>2304</v>
      </c>
      <c r="G302" s="5"/>
      <c r="H302" s="5" t="s">
        <v>349</v>
      </c>
      <c r="I302" s="5" t="s">
        <v>350</v>
      </c>
      <c r="J302" s="5" t="s">
        <v>351</v>
      </c>
      <c r="K302" s="5" t="s">
        <v>352</v>
      </c>
      <c r="L302" s="5" t="s">
        <v>353</v>
      </c>
      <c r="M302" s="5" t="s">
        <v>2305</v>
      </c>
    </row>
    <row r="303" spans="1:13" ht="57" customHeight="1" x14ac:dyDescent="0.2">
      <c r="A303" s="5" t="s">
        <v>2306</v>
      </c>
      <c r="B303" s="5" t="s">
        <v>356</v>
      </c>
      <c r="C303" s="5" t="s">
        <v>2307</v>
      </c>
      <c r="D303" s="5" t="s">
        <v>2308</v>
      </c>
      <c r="E303" s="5" t="s">
        <v>359</v>
      </c>
      <c r="F303" s="5" t="s">
        <v>2304</v>
      </c>
      <c r="G303" s="5" t="s">
        <v>2309</v>
      </c>
      <c r="H303" s="5" t="s">
        <v>2310</v>
      </c>
      <c r="I303" s="5" t="s">
        <v>362</v>
      </c>
      <c r="J303" s="5" t="s">
        <v>363</v>
      </c>
      <c r="K303" s="5" t="s">
        <v>364</v>
      </c>
      <c r="L303" s="5" t="s">
        <v>365</v>
      </c>
      <c r="M303" s="5" t="s">
        <v>366</v>
      </c>
    </row>
    <row r="304" spans="1:13" ht="57" customHeight="1" x14ac:dyDescent="0.2">
      <c r="A304" s="5" t="s">
        <v>2311</v>
      </c>
      <c r="B304" s="5" t="s">
        <v>368</v>
      </c>
      <c r="C304" s="5" t="s">
        <v>2312</v>
      </c>
      <c r="D304" s="5" t="s">
        <v>2313</v>
      </c>
      <c r="E304" s="5" t="s">
        <v>359</v>
      </c>
      <c r="F304" s="5" t="s">
        <v>2304</v>
      </c>
      <c r="G304" s="5" t="s">
        <v>2314</v>
      </c>
      <c r="H304" s="5" t="s">
        <v>2315</v>
      </c>
      <c r="I304" s="5" t="s">
        <v>362</v>
      </c>
      <c r="J304" s="5" t="s">
        <v>373</v>
      </c>
      <c r="K304" s="5" t="s">
        <v>364</v>
      </c>
      <c r="L304" s="5" t="s">
        <v>374</v>
      </c>
      <c r="M304" s="5" t="s">
        <v>366</v>
      </c>
    </row>
    <row r="305" spans="1:13" ht="57" customHeight="1" x14ac:dyDescent="0.2">
      <c r="A305" s="5" t="s">
        <v>2316</v>
      </c>
      <c r="B305" s="5" t="s">
        <v>376</v>
      </c>
      <c r="C305" s="5" t="s">
        <v>2317</v>
      </c>
      <c r="D305" s="5" t="s">
        <v>2318</v>
      </c>
      <c r="E305" s="5" t="s">
        <v>359</v>
      </c>
      <c r="F305" s="5" t="s">
        <v>2304</v>
      </c>
      <c r="G305" s="5" t="s">
        <v>2319</v>
      </c>
      <c r="H305" s="5" t="s">
        <v>2320</v>
      </c>
      <c r="I305" s="5" t="s">
        <v>362</v>
      </c>
      <c r="J305" s="5" t="s">
        <v>381</v>
      </c>
      <c r="K305" s="5" t="s">
        <v>382</v>
      </c>
      <c r="L305" s="5" t="s">
        <v>383</v>
      </c>
      <c r="M305" s="5" t="s">
        <v>366</v>
      </c>
    </row>
    <row r="306" spans="1:13" ht="57" customHeight="1" x14ac:dyDescent="0.2">
      <c r="A306" s="5" t="s">
        <v>2321</v>
      </c>
      <c r="B306" s="5" t="s">
        <v>412</v>
      </c>
      <c r="C306" s="5" t="s">
        <v>2322</v>
      </c>
      <c r="D306" s="5" t="s">
        <v>2323</v>
      </c>
      <c r="E306" s="5" t="s">
        <v>359</v>
      </c>
      <c r="F306" s="5" t="s">
        <v>2304</v>
      </c>
      <c r="G306" s="5" t="s">
        <v>2324</v>
      </c>
      <c r="H306" s="5" t="s">
        <v>2325</v>
      </c>
      <c r="I306" s="5" t="s">
        <v>362</v>
      </c>
      <c r="J306" s="5" t="s">
        <v>417</v>
      </c>
      <c r="K306" s="5" t="s">
        <v>392</v>
      </c>
      <c r="L306" s="5" t="s">
        <v>393</v>
      </c>
      <c r="M306" s="5" t="s">
        <v>418</v>
      </c>
    </row>
    <row r="307" spans="1:13" ht="57" customHeight="1" x14ac:dyDescent="0.2">
      <c r="A307" s="5" t="s">
        <v>2326</v>
      </c>
      <c r="B307" s="5" t="s">
        <v>818</v>
      </c>
      <c r="C307" s="5" t="s">
        <v>2327</v>
      </c>
      <c r="D307" s="5" t="s">
        <v>2328</v>
      </c>
      <c r="E307" s="5" t="s">
        <v>359</v>
      </c>
      <c r="F307" s="5" t="s">
        <v>2304</v>
      </c>
      <c r="G307" s="5" t="s">
        <v>2329</v>
      </c>
      <c r="H307" s="5" t="s">
        <v>2330</v>
      </c>
      <c r="I307" s="5" t="s">
        <v>362</v>
      </c>
      <c r="J307" s="5" t="s">
        <v>823</v>
      </c>
      <c r="K307" s="5" t="s">
        <v>392</v>
      </c>
      <c r="L307" s="5" t="s">
        <v>393</v>
      </c>
      <c r="M307" s="5" t="s">
        <v>506</v>
      </c>
    </row>
    <row r="308" spans="1:13" ht="57" customHeight="1" x14ac:dyDescent="0.2">
      <c r="A308" s="5" t="s">
        <v>2331</v>
      </c>
      <c r="B308" s="5" t="s">
        <v>2332</v>
      </c>
      <c r="C308" s="5" t="s">
        <v>2333</v>
      </c>
      <c r="D308" s="5" t="s">
        <v>2334</v>
      </c>
      <c r="E308" s="5" t="s">
        <v>359</v>
      </c>
      <c r="F308" s="5" t="s">
        <v>2304</v>
      </c>
      <c r="G308" s="5" t="s">
        <v>2335</v>
      </c>
      <c r="H308" s="5" t="s">
        <v>2336</v>
      </c>
      <c r="I308" s="5" t="s">
        <v>362</v>
      </c>
      <c r="J308" s="5" t="s">
        <v>2337</v>
      </c>
      <c r="K308" s="5" t="s">
        <v>402</v>
      </c>
      <c r="L308" s="5" t="s">
        <v>2338</v>
      </c>
      <c r="M308" s="5" t="s">
        <v>366</v>
      </c>
    </row>
    <row r="309" spans="1:13" ht="72" customHeight="1" x14ac:dyDescent="0.2">
      <c r="A309" s="5" t="s">
        <v>2339</v>
      </c>
      <c r="B309" s="5" t="s">
        <v>2340</v>
      </c>
      <c r="C309" s="5" t="s">
        <v>2341</v>
      </c>
      <c r="D309" s="5" t="s">
        <v>2342</v>
      </c>
      <c r="E309" s="5" t="s">
        <v>359</v>
      </c>
      <c r="F309" s="5" t="s">
        <v>2304</v>
      </c>
      <c r="G309" s="5" t="s">
        <v>2343</v>
      </c>
      <c r="H309" s="5" t="s">
        <v>2344</v>
      </c>
      <c r="I309" s="5" t="s">
        <v>362</v>
      </c>
      <c r="J309" s="5" t="s">
        <v>2345</v>
      </c>
      <c r="K309" s="5" t="s">
        <v>364</v>
      </c>
      <c r="L309" s="5" t="s">
        <v>2346</v>
      </c>
      <c r="M309" s="5" t="s">
        <v>366</v>
      </c>
    </row>
    <row r="310" spans="1:13" ht="72" customHeight="1" x14ac:dyDescent="0.2">
      <c r="A310" s="5" t="s">
        <v>2347</v>
      </c>
      <c r="B310" s="5" t="s">
        <v>2348</v>
      </c>
      <c r="C310" s="5" t="s">
        <v>2349</v>
      </c>
      <c r="D310" s="5" t="s">
        <v>2350</v>
      </c>
      <c r="E310" s="5" t="s">
        <v>359</v>
      </c>
      <c r="F310" s="5" t="s">
        <v>2304</v>
      </c>
      <c r="G310" s="5" t="s">
        <v>2351</v>
      </c>
      <c r="H310" s="5" t="s">
        <v>2352</v>
      </c>
      <c r="I310" s="5" t="s">
        <v>362</v>
      </c>
      <c r="J310" s="5" t="s">
        <v>2353</v>
      </c>
      <c r="K310" s="5" t="s">
        <v>514</v>
      </c>
      <c r="L310" s="5" t="s">
        <v>515</v>
      </c>
      <c r="M310" s="5" t="s">
        <v>366</v>
      </c>
    </row>
    <row r="311" spans="1:13" ht="72" customHeight="1" x14ac:dyDescent="0.2">
      <c r="A311" s="5" t="s">
        <v>2354</v>
      </c>
      <c r="B311" s="5" t="s">
        <v>2355</v>
      </c>
      <c r="C311" s="5" t="s">
        <v>2356</v>
      </c>
      <c r="D311" s="5" t="s">
        <v>2357</v>
      </c>
      <c r="E311" s="5" t="s">
        <v>359</v>
      </c>
      <c r="F311" s="5" t="s">
        <v>2304</v>
      </c>
      <c r="G311" s="5" t="s">
        <v>2358</v>
      </c>
      <c r="H311" s="5" t="s">
        <v>2359</v>
      </c>
      <c r="I311" s="5" t="s">
        <v>2360</v>
      </c>
      <c r="J311" s="5" t="s">
        <v>2361</v>
      </c>
      <c r="K311" s="5" t="s">
        <v>392</v>
      </c>
      <c r="L311" s="5" t="s">
        <v>393</v>
      </c>
      <c r="M311" s="5" t="s">
        <v>1781</v>
      </c>
    </row>
    <row r="312" spans="1:13" ht="72" customHeight="1" x14ac:dyDescent="0.2">
      <c r="A312" s="5" t="s">
        <v>2362</v>
      </c>
      <c r="B312" s="5" t="s">
        <v>2363</v>
      </c>
      <c r="C312" s="5" t="s">
        <v>2364</v>
      </c>
      <c r="D312" s="5" t="s">
        <v>2365</v>
      </c>
      <c r="E312" s="5" t="s">
        <v>359</v>
      </c>
      <c r="F312" s="5" t="s">
        <v>2304</v>
      </c>
      <c r="G312" s="5" t="s">
        <v>2366</v>
      </c>
      <c r="H312" s="5" t="s">
        <v>2367</v>
      </c>
      <c r="I312" s="5" t="s">
        <v>362</v>
      </c>
      <c r="J312" s="5" t="s">
        <v>2368</v>
      </c>
      <c r="K312" s="5" t="s">
        <v>364</v>
      </c>
      <c r="L312" s="5" t="s">
        <v>2369</v>
      </c>
      <c r="M312" s="5" t="s">
        <v>366</v>
      </c>
    </row>
    <row r="313" spans="1:13" ht="87" customHeight="1" x14ac:dyDescent="0.2">
      <c r="A313" s="5" t="s">
        <v>2370</v>
      </c>
      <c r="B313" s="5" t="s">
        <v>2371</v>
      </c>
      <c r="C313" s="5" t="s">
        <v>2372</v>
      </c>
      <c r="D313" s="5" t="s">
        <v>2373</v>
      </c>
      <c r="E313" s="5" t="s">
        <v>347</v>
      </c>
      <c r="F313" s="5" t="s">
        <v>2374</v>
      </c>
      <c r="G313" s="5"/>
      <c r="H313" s="5" t="s">
        <v>349</v>
      </c>
      <c r="I313" s="5" t="s">
        <v>350</v>
      </c>
      <c r="J313" s="5" t="s">
        <v>351</v>
      </c>
      <c r="K313" s="5" t="s">
        <v>352</v>
      </c>
      <c r="L313" s="5" t="s">
        <v>353</v>
      </c>
      <c r="M313" s="5" t="s">
        <v>2375</v>
      </c>
    </row>
    <row r="314" spans="1:13" ht="57" customHeight="1" x14ac:dyDescent="0.2">
      <c r="A314" s="5" t="s">
        <v>2376</v>
      </c>
      <c r="B314" s="5" t="s">
        <v>356</v>
      </c>
      <c r="C314" s="5" t="s">
        <v>2377</v>
      </c>
      <c r="D314" s="5" t="s">
        <v>2378</v>
      </c>
      <c r="E314" s="5" t="s">
        <v>359</v>
      </c>
      <c r="F314" s="5" t="s">
        <v>2374</v>
      </c>
      <c r="G314" s="5" t="s">
        <v>2379</v>
      </c>
      <c r="H314" s="5" t="s">
        <v>2380</v>
      </c>
      <c r="I314" s="5" t="s">
        <v>362</v>
      </c>
      <c r="J314" s="5" t="s">
        <v>363</v>
      </c>
      <c r="K314" s="5" t="s">
        <v>364</v>
      </c>
      <c r="L314" s="5" t="s">
        <v>365</v>
      </c>
      <c r="M314" s="5" t="s">
        <v>366</v>
      </c>
    </row>
    <row r="315" spans="1:13" ht="57" customHeight="1" x14ac:dyDescent="0.2">
      <c r="A315" s="5" t="s">
        <v>2381</v>
      </c>
      <c r="B315" s="5" t="s">
        <v>368</v>
      </c>
      <c r="C315" s="5" t="s">
        <v>2382</v>
      </c>
      <c r="D315" s="5" t="s">
        <v>2383</v>
      </c>
      <c r="E315" s="5" t="s">
        <v>359</v>
      </c>
      <c r="F315" s="5" t="s">
        <v>2374</v>
      </c>
      <c r="G315" s="5" t="s">
        <v>2384</v>
      </c>
      <c r="H315" s="5" t="s">
        <v>2385</v>
      </c>
      <c r="I315" s="5" t="s">
        <v>362</v>
      </c>
      <c r="J315" s="5" t="s">
        <v>373</v>
      </c>
      <c r="K315" s="5" t="s">
        <v>364</v>
      </c>
      <c r="L315" s="5" t="s">
        <v>374</v>
      </c>
      <c r="M315" s="5" t="s">
        <v>366</v>
      </c>
    </row>
    <row r="316" spans="1:13" ht="57" customHeight="1" x14ac:dyDescent="0.2">
      <c r="A316" s="5" t="s">
        <v>2386</v>
      </c>
      <c r="B316" s="5" t="s">
        <v>376</v>
      </c>
      <c r="C316" s="5" t="s">
        <v>2387</v>
      </c>
      <c r="D316" s="5" t="s">
        <v>2388</v>
      </c>
      <c r="E316" s="5" t="s">
        <v>359</v>
      </c>
      <c r="F316" s="5" t="s">
        <v>2374</v>
      </c>
      <c r="G316" s="5" t="s">
        <v>2389</v>
      </c>
      <c r="H316" s="5" t="s">
        <v>2390</v>
      </c>
      <c r="I316" s="5" t="s">
        <v>362</v>
      </c>
      <c r="J316" s="5" t="s">
        <v>381</v>
      </c>
      <c r="K316" s="5" t="s">
        <v>382</v>
      </c>
      <c r="L316" s="5" t="s">
        <v>383</v>
      </c>
      <c r="M316" s="5" t="s">
        <v>366</v>
      </c>
    </row>
    <row r="317" spans="1:13" ht="72" customHeight="1" x14ac:dyDescent="0.2">
      <c r="A317" s="5" t="s">
        <v>2391</v>
      </c>
      <c r="B317" s="5" t="s">
        <v>500</v>
      </c>
      <c r="C317" s="5" t="s">
        <v>2392</v>
      </c>
      <c r="D317" s="5" t="s">
        <v>2393</v>
      </c>
      <c r="E317" s="5" t="s">
        <v>359</v>
      </c>
      <c r="F317" s="5" t="s">
        <v>2374</v>
      </c>
      <c r="G317" s="5" t="s">
        <v>2394</v>
      </c>
      <c r="H317" s="5" t="s">
        <v>2395</v>
      </c>
      <c r="I317" s="5" t="s">
        <v>362</v>
      </c>
      <c r="J317" s="5" t="s">
        <v>505</v>
      </c>
      <c r="K317" s="5" t="s">
        <v>392</v>
      </c>
      <c r="L317" s="5" t="s">
        <v>393</v>
      </c>
      <c r="M317" s="5" t="s">
        <v>506</v>
      </c>
    </row>
    <row r="318" spans="1:13" ht="57" customHeight="1" x14ac:dyDescent="0.2">
      <c r="A318" s="5" t="s">
        <v>2396</v>
      </c>
      <c r="B318" s="5" t="s">
        <v>595</v>
      </c>
      <c r="C318" s="5" t="s">
        <v>2397</v>
      </c>
      <c r="D318" s="5" t="s">
        <v>2398</v>
      </c>
      <c r="E318" s="5" t="s">
        <v>359</v>
      </c>
      <c r="F318" s="5" t="s">
        <v>2374</v>
      </c>
      <c r="G318" s="5" t="s">
        <v>2399</v>
      </c>
      <c r="H318" s="5" t="s">
        <v>2400</v>
      </c>
      <c r="I318" s="5" t="s">
        <v>362</v>
      </c>
      <c r="J318" s="5" t="s">
        <v>600</v>
      </c>
      <c r="K318" s="5" t="s">
        <v>392</v>
      </c>
      <c r="L318" s="5" t="s">
        <v>393</v>
      </c>
      <c r="M318" s="5" t="s">
        <v>601</v>
      </c>
    </row>
    <row r="319" spans="1:13" ht="57" customHeight="1" x14ac:dyDescent="0.2">
      <c r="A319" s="5" t="s">
        <v>2401</v>
      </c>
      <c r="B319" s="5" t="s">
        <v>449</v>
      </c>
      <c r="C319" s="5" t="s">
        <v>2402</v>
      </c>
      <c r="D319" s="5" t="s">
        <v>2403</v>
      </c>
      <c r="E319" s="5" t="s">
        <v>359</v>
      </c>
      <c r="F319" s="5" t="s">
        <v>2374</v>
      </c>
      <c r="G319" s="5" t="s">
        <v>2404</v>
      </c>
      <c r="H319" s="5" t="s">
        <v>2405</v>
      </c>
      <c r="I319" s="5" t="s">
        <v>362</v>
      </c>
      <c r="J319" s="5" t="s">
        <v>454</v>
      </c>
      <c r="K319" s="5" t="s">
        <v>392</v>
      </c>
      <c r="L319" s="5" t="s">
        <v>393</v>
      </c>
      <c r="M319" s="5" t="s">
        <v>455</v>
      </c>
    </row>
    <row r="320" spans="1:13" ht="57" customHeight="1" x14ac:dyDescent="0.2">
      <c r="A320" s="5" t="s">
        <v>2406</v>
      </c>
      <c r="B320" s="5" t="s">
        <v>457</v>
      </c>
      <c r="C320" s="5" t="s">
        <v>2407</v>
      </c>
      <c r="D320" s="5" t="s">
        <v>2408</v>
      </c>
      <c r="E320" s="5" t="s">
        <v>359</v>
      </c>
      <c r="F320" s="5" t="s">
        <v>2374</v>
      </c>
      <c r="G320" s="5" t="s">
        <v>2409</v>
      </c>
      <c r="H320" s="5" t="s">
        <v>2410</v>
      </c>
      <c r="I320" s="5" t="s">
        <v>362</v>
      </c>
      <c r="J320" s="5" t="s">
        <v>462</v>
      </c>
      <c r="K320" s="5" t="s">
        <v>392</v>
      </c>
      <c r="L320" s="5" t="s">
        <v>393</v>
      </c>
      <c r="M320" s="5" t="s">
        <v>463</v>
      </c>
    </row>
    <row r="321" spans="1:13" ht="57" customHeight="1" x14ac:dyDescent="0.2">
      <c r="A321" s="5" t="s">
        <v>2411</v>
      </c>
      <c r="B321" s="5" t="s">
        <v>465</v>
      </c>
      <c r="C321" s="5" t="s">
        <v>2412</v>
      </c>
      <c r="D321" s="5" t="s">
        <v>2413</v>
      </c>
      <c r="E321" s="5" t="s">
        <v>359</v>
      </c>
      <c r="F321" s="5" t="s">
        <v>2374</v>
      </c>
      <c r="G321" s="5" t="s">
        <v>2414</v>
      </c>
      <c r="H321" s="5" t="s">
        <v>2415</v>
      </c>
      <c r="I321" s="5" t="s">
        <v>362</v>
      </c>
      <c r="J321" s="5" t="s">
        <v>470</v>
      </c>
      <c r="K321" s="5" t="s">
        <v>392</v>
      </c>
      <c r="L321" s="5" t="s">
        <v>393</v>
      </c>
      <c r="M321" s="5" t="s">
        <v>471</v>
      </c>
    </row>
    <row r="322" spans="1:13" ht="72" customHeight="1" x14ac:dyDescent="0.2">
      <c r="A322" s="5" t="s">
        <v>2416</v>
      </c>
      <c r="B322" s="5" t="s">
        <v>2417</v>
      </c>
      <c r="C322" s="5" t="s">
        <v>2418</v>
      </c>
      <c r="D322" s="5" t="s">
        <v>2419</v>
      </c>
      <c r="E322" s="5" t="s">
        <v>359</v>
      </c>
      <c r="F322" s="5" t="s">
        <v>2374</v>
      </c>
      <c r="G322" s="5" t="s">
        <v>2420</v>
      </c>
      <c r="H322" s="5" t="s">
        <v>2421</v>
      </c>
      <c r="I322" s="5" t="s">
        <v>362</v>
      </c>
      <c r="J322" s="5" t="s">
        <v>2422</v>
      </c>
      <c r="K322" s="5" t="s">
        <v>364</v>
      </c>
      <c r="L322" s="5" t="s">
        <v>2423</v>
      </c>
      <c r="M322" s="5" t="s">
        <v>366</v>
      </c>
    </row>
    <row r="323" spans="1:13" ht="57" customHeight="1" x14ac:dyDescent="0.2">
      <c r="A323" s="5" t="s">
        <v>2424</v>
      </c>
      <c r="B323" s="5" t="s">
        <v>420</v>
      </c>
      <c r="C323" s="5" t="s">
        <v>2425</v>
      </c>
      <c r="D323" s="5" t="s">
        <v>2426</v>
      </c>
      <c r="E323" s="5" t="s">
        <v>359</v>
      </c>
      <c r="F323" s="5" t="s">
        <v>2374</v>
      </c>
      <c r="G323" s="5" t="s">
        <v>2427</v>
      </c>
      <c r="H323" s="5" t="s">
        <v>2428</v>
      </c>
      <c r="I323" s="5" t="s">
        <v>390</v>
      </c>
      <c r="J323" s="5" t="s">
        <v>425</v>
      </c>
      <c r="K323" s="5" t="s">
        <v>392</v>
      </c>
      <c r="L323" s="5" t="s">
        <v>393</v>
      </c>
      <c r="M323" s="5" t="s">
        <v>426</v>
      </c>
    </row>
    <row r="324" spans="1:13" ht="87" customHeight="1" x14ac:dyDescent="0.2">
      <c r="A324" s="5" t="s">
        <v>2429</v>
      </c>
      <c r="B324" s="5" t="s">
        <v>2430</v>
      </c>
      <c r="C324" s="5" t="s">
        <v>2431</v>
      </c>
      <c r="D324" s="5" t="s">
        <v>2432</v>
      </c>
      <c r="E324" s="5" t="s">
        <v>347</v>
      </c>
      <c r="F324" s="5" t="s">
        <v>2433</v>
      </c>
      <c r="G324" s="5"/>
      <c r="H324" s="5" t="s">
        <v>349</v>
      </c>
      <c r="I324" s="5" t="s">
        <v>350</v>
      </c>
      <c r="J324" s="5" t="s">
        <v>351</v>
      </c>
      <c r="K324" s="5" t="s">
        <v>352</v>
      </c>
      <c r="L324" s="5" t="s">
        <v>353</v>
      </c>
      <c r="M324" s="5" t="s">
        <v>2434</v>
      </c>
    </row>
    <row r="325" spans="1:13" ht="57" customHeight="1" x14ac:dyDescent="0.2">
      <c r="A325" s="5" t="s">
        <v>2435</v>
      </c>
      <c r="B325" s="5" t="s">
        <v>356</v>
      </c>
      <c r="C325" s="5" t="s">
        <v>2436</v>
      </c>
      <c r="D325" s="5" t="s">
        <v>2437</v>
      </c>
      <c r="E325" s="5" t="s">
        <v>359</v>
      </c>
      <c r="F325" s="5" t="s">
        <v>2433</v>
      </c>
      <c r="G325" s="5" t="s">
        <v>2438</v>
      </c>
      <c r="H325" s="5" t="s">
        <v>2439</v>
      </c>
      <c r="I325" s="5" t="s">
        <v>362</v>
      </c>
      <c r="J325" s="5" t="s">
        <v>363</v>
      </c>
      <c r="K325" s="5" t="s">
        <v>364</v>
      </c>
      <c r="L325" s="5" t="s">
        <v>365</v>
      </c>
      <c r="M325" s="5" t="s">
        <v>366</v>
      </c>
    </row>
    <row r="326" spans="1:13" ht="57" customHeight="1" x14ac:dyDescent="0.2">
      <c r="A326" s="5" t="s">
        <v>2440</v>
      </c>
      <c r="B326" s="5" t="s">
        <v>368</v>
      </c>
      <c r="C326" s="5" t="s">
        <v>2441</v>
      </c>
      <c r="D326" s="5" t="s">
        <v>2442</v>
      </c>
      <c r="E326" s="5" t="s">
        <v>359</v>
      </c>
      <c r="F326" s="5" t="s">
        <v>2433</v>
      </c>
      <c r="G326" s="5" t="s">
        <v>2443</v>
      </c>
      <c r="H326" s="5" t="s">
        <v>2444</v>
      </c>
      <c r="I326" s="5" t="s">
        <v>362</v>
      </c>
      <c r="J326" s="5" t="s">
        <v>373</v>
      </c>
      <c r="K326" s="5" t="s">
        <v>364</v>
      </c>
      <c r="L326" s="5" t="s">
        <v>374</v>
      </c>
      <c r="M326" s="5" t="s">
        <v>366</v>
      </c>
    </row>
    <row r="327" spans="1:13" ht="57" customHeight="1" x14ac:dyDescent="0.2">
      <c r="A327" s="5" t="s">
        <v>2445</v>
      </c>
      <c r="B327" s="5" t="s">
        <v>376</v>
      </c>
      <c r="C327" s="5" t="s">
        <v>2446</v>
      </c>
      <c r="D327" s="5" t="s">
        <v>2447</v>
      </c>
      <c r="E327" s="5" t="s">
        <v>359</v>
      </c>
      <c r="F327" s="5" t="s">
        <v>2433</v>
      </c>
      <c r="G327" s="5" t="s">
        <v>2448</v>
      </c>
      <c r="H327" s="5" t="s">
        <v>2449</v>
      </c>
      <c r="I327" s="5" t="s">
        <v>362</v>
      </c>
      <c r="J327" s="5" t="s">
        <v>381</v>
      </c>
      <c r="K327" s="5" t="s">
        <v>382</v>
      </c>
      <c r="L327" s="5" t="s">
        <v>383</v>
      </c>
      <c r="M327" s="5" t="s">
        <v>366</v>
      </c>
    </row>
    <row r="328" spans="1:13" ht="72" customHeight="1" x14ac:dyDescent="0.2">
      <c r="A328" s="5" t="s">
        <v>2450</v>
      </c>
      <c r="B328" s="5" t="s">
        <v>500</v>
      </c>
      <c r="C328" s="5" t="s">
        <v>2451</v>
      </c>
      <c r="D328" s="5" t="s">
        <v>2452</v>
      </c>
      <c r="E328" s="5" t="s">
        <v>359</v>
      </c>
      <c r="F328" s="5" t="s">
        <v>2433</v>
      </c>
      <c r="G328" s="5" t="s">
        <v>2453</v>
      </c>
      <c r="H328" s="5" t="s">
        <v>2454</v>
      </c>
      <c r="I328" s="5" t="s">
        <v>362</v>
      </c>
      <c r="J328" s="5" t="s">
        <v>505</v>
      </c>
      <c r="K328" s="5" t="s">
        <v>392</v>
      </c>
      <c r="L328" s="5" t="s">
        <v>393</v>
      </c>
      <c r="M328" s="5" t="s">
        <v>506</v>
      </c>
    </row>
    <row r="329" spans="1:13" ht="57" customHeight="1" x14ac:dyDescent="0.2">
      <c r="A329" s="5" t="s">
        <v>2455</v>
      </c>
      <c r="B329" s="5" t="s">
        <v>2456</v>
      </c>
      <c r="C329" s="5" t="s">
        <v>2457</v>
      </c>
      <c r="D329" s="5" t="s">
        <v>2458</v>
      </c>
      <c r="E329" s="5" t="s">
        <v>359</v>
      </c>
      <c r="F329" s="5" t="s">
        <v>2433</v>
      </c>
      <c r="G329" s="5" t="s">
        <v>2459</v>
      </c>
      <c r="H329" s="5" t="s">
        <v>2460</v>
      </c>
      <c r="I329" s="5" t="s">
        <v>362</v>
      </c>
      <c r="J329" s="5" t="s">
        <v>2461</v>
      </c>
      <c r="K329" s="5" t="s">
        <v>402</v>
      </c>
      <c r="L329" s="5" t="s">
        <v>2462</v>
      </c>
      <c r="M329" s="5" t="s">
        <v>366</v>
      </c>
    </row>
    <row r="330" spans="1:13" ht="72" customHeight="1" x14ac:dyDescent="0.2">
      <c r="A330" s="5" t="s">
        <v>2463</v>
      </c>
      <c r="B330" s="5" t="s">
        <v>2464</v>
      </c>
      <c r="C330" s="5" t="s">
        <v>2465</v>
      </c>
      <c r="D330" s="5" t="s">
        <v>2466</v>
      </c>
      <c r="E330" s="5" t="s">
        <v>359</v>
      </c>
      <c r="F330" s="5" t="s">
        <v>2433</v>
      </c>
      <c r="G330" s="5" t="s">
        <v>2467</v>
      </c>
      <c r="H330" s="5" t="s">
        <v>2468</v>
      </c>
      <c r="I330" s="5" t="s">
        <v>362</v>
      </c>
      <c r="J330" s="5" t="s">
        <v>2469</v>
      </c>
      <c r="K330" s="5" t="s">
        <v>364</v>
      </c>
      <c r="L330" s="5" t="s">
        <v>2470</v>
      </c>
      <c r="M330" s="5" t="s">
        <v>366</v>
      </c>
    </row>
    <row r="331" spans="1:13" ht="57" customHeight="1" x14ac:dyDescent="0.2">
      <c r="A331" s="5" t="s">
        <v>2471</v>
      </c>
      <c r="B331" s="5" t="s">
        <v>457</v>
      </c>
      <c r="C331" s="5" t="s">
        <v>2472</v>
      </c>
      <c r="D331" s="5" t="s">
        <v>2473</v>
      </c>
      <c r="E331" s="5" t="s">
        <v>359</v>
      </c>
      <c r="F331" s="5" t="s">
        <v>2433</v>
      </c>
      <c r="G331" s="5" t="s">
        <v>2474</v>
      </c>
      <c r="H331" s="5" t="s">
        <v>2475</v>
      </c>
      <c r="I331" s="5" t="s">
        <v>390</v>
      </c>
      <c r="J331" s="5" t="s">
        <v>462</v>
      </c>
      <c r="K331" s="5" t="s">
        <v>392</v>
      </c>
      <c r="L331" s="5" t="s">
        <v>393</v>
      </c>
      <c r="M331" s="5" t="s">
        <v>463</v>
      </c>
    </row>
    <row r="332" spans="1:13" ht="57" customHeight="1" x14ac:dyDescent="0.2">
      <c r="A332" s="5" t="s">
        <v>2476</v>
      </c>
      <c r="B332" s="5" t="s">
        <v>465</v>
      </c>
      <c r="C332" s="5" t="s">
        <v>2477</v>
      </c>
      <c r="D332" s="5" t="s">
        <v>2478</v>
      </c>
      <c r="E332" s="5" t="s">
        <v>359</v>
      </c>
      <c r="F332" s="5" t="s">
        <v>2433</v>
      </c>
      <c r="G332" s="5" t="s">
        <v>2479</v>
      </c>
      <c r="H332" s="5" t="s">
        <v>2480</v>
      </c>
      <c r="I332" s="5" t="s">
        <v>390</v>
      </c>
      <c r="J332" s="5" t="s">
        <v>470</v>
      </c>
      <c r="K332" s="5" t="s">
        <v>392</v>
      </c>
      <c r="L332" s="5" t="s">
        <v>393</v>
      </c>
      <c r="M332" s="5" t="s">
        <v>471</v>
      </c>
    </row>
    <row r="333" spans="1:13" ht="72" customHeight="1" x14ac:dyDescent="0.2">
      <c r="A333" s="5" t="s">
        <v>2481</v>
      </c>
      <c r="B333" s="5" t="s">
        <v>2482</v>
      </c>
      <c r="C333" s="5" t="s">
        <v>2483</v>
      </c>
      <c r="D333" s="5" t="s">
        <v>2484</v>
      </c>
      <c r="E333" s="5" t="s">
        <v>359</v>
      </c>
      <c r="F333" s="5" t="s">
        <v>2433</v>
      </c>
      <c r="G333" s="5" t="s">
        <v>2485</v>
      </c>
      <c r="H333" s="5" t="s">
        <v>2486</v>
      </c>
      <c r="I333" s="5" t="s">
        <v>362</v>
      </c>
      <c r="J333" s="5" t="s">
        <v>2487</v>
      </c>
      <c r="K333" s="5" t="s">
        <v>364</v>
      </c>
      <c r="L333" s="5" t="s">
        <v>2488</v>
      </c>
      <c r="M333" s="5" t="s">
        <v>366</v>
      </c>
    </row>
    <row r="334" spans="1:13" ht="72" customHeight="1" x14ac:dyDescent="0.2">
      <c r="A334" s="5" t="s">
        <v>2489</v>
      </c>
      <c r="B334" s="5" t="s">
        <v>2490</v>
      </c>
      <c r="C334" s="5" t="s">
        <v>2491</v>
      </c>
      <c r="D334" s="5" t="s">
        <v>2492</v>
      </c>
      <c r="E334" s="5" t="s">
        <v>359</v>
      </c>
      <c r="F334" s="5" t="s">
        <v>2433</v>
      </c>
      <c r="G334" s="5" t="s">
        <v>2493</v>
      </c>
      <c r="H334" s="5" t="s">
        <v>2494</v>
      </c>
      <c r="I334" s="5" t="s">
        <v>362</v>
      </c>
      <c r="J334" s="5" t="s">
        <v>2495</v>
      </c>
      <c r="K334" s="5" t="s">
        <v>364</v>
      </c>
      <c r="L334" s="5" t="s">
        <v>2496</v>
      </c>
      <c r="M334" s="5" t="s">
        <v>366</v>
      </c>
    </row>
    <row r="335" spans="1:13" ht="87" customHeight="1" x14ac:dyDescent="0.2">
      <c r="A335" s="5" t="s">
        <v>2497</v>
      </c>
      <c r="B335" s="5" t="s">
        <v>2498</v>
      </c>
      <c r="C335" s="5" t="s">
        <v>2499</v>
      </c>
      <c r="D335" s="5" t="s">
        <v>2500</v>
      </c>
      <c r="E335" s="5" t="s">
        <v>347</v>
      </c>
      <c r="F335" s="5" t="s">
        <v>2501</v>
      </c>
      <c r="G335" s="5"/>
      <c r="H335" s="5" t="s">
        <v>349</v>
      </c>
      <c r="I335" s="5" t="s">
        <v>350</v>
      </c>
      <c r="J335" s="5" t="s">
        <v>351</v>
      </c>
      <c r="K335" s="5" t="s">
        <v>352</v>
      </c>
      <c r="L335" s="5" t="s">
        <v>353</v>
      </c>
      <c r="M335" s="5" t="s">
        <v>2502</v>
      </c>
    </row>
    <row r="336" spans="1:13" ht="57" customHeight="1" x14ac:dyDescent="0.2">
      <c r="A336" s="5" t="s">
        <v>2503</v>
      </c>
      <c r="B336" s="5" t="s">
        <v>356</v>
      </c>
      <c r="C336" s="5" t="s">
        <v>2504</v>
      </c>
      <c r="D336" s="5" t="s">
        <v>2505</v>
      </c>
      <c r="E336" s="5" t="s">
        <v>359</v>
      </c>
      <c r="F336" s="5" t="s">
        <v>2501</v>
      </c>
      <c r="G336" s="5" t="s">
        <v>2506</v>
      </c>
      <c r="H336" s="5" t="s">
        <v>2507</v>
      </c>
      <c r="I336" s="5" t="s">
        <v>362</v>
      </c>
      <c r="J336" s="5" t="s">
        <v>363</v>
      </c>
      <c r="K336" s="5" t="s">
        <v>364</v>
      </c>
      <c r="L336" s="5" t="s">
        <v>365</v>
      </c>
      <c r="M336" s="5" t="s">
        <v>366</v>
      </c>
    </row>
    <row r="337" spans="1:13" ht="57" customHeight="1" x14ac:dyDescent="0.2">
      <c r="A337" s="5" t="s">
        <v>2508</v>
      </c>
      <c r="B337" s="5" t="s">
        <v>368</v>
      </c>
      <c r="C337" s="5" t="s">
        <v>2509</v>
      </c>
      <c r="D337" s="5" t="s">
        <v>2510</v>
      </c>
      <c r="E337" s="5" t="s">
        <v>359</v>
      </c>
      <c r="F337" s="5" t="s">
        <v>2501</v>
      </c>
      <c r="G337" s="5" t="s">
        <v>2511</v>
      </c>
      <c r="H337" s="5" t="s">
        <v>2512</v>
      </c>
      <c r="I337" s="5" t="s">
        <v>362</v>
      </c>
      <c r="J337" s="5" t="s">
        <v>373</v>
      </c>
      <c r="K337" s="5" t="s">
        <v>364</v>
      </c>
      <c r="L337" s="5" t="s">
        <v>374</v>
      </c>
      <c r="M337" s="5" t="s">
        <v>366</v>
      </c>
    </row>
    <row r="338" spans="1:13" ht="57" customHeight="1" x14ac:dyDescent="0.2">
      <c r="A338" s="5" t="s">
        <v>2513</v>
      </c>
      <c r="B338" s="5" t="s">
        <v>376</v>
      </c>
      <c r="C338" s="5" t="s">
        <v>2514</v>
      </c>
      <c r="D338" s="5" t="s">
        <v>2515</v>
      </c>
      <c r="E338" s="5" t="s">
        <v>359</v>
      </c>
      <c r="F338" s="5" t="s">
        <v>2501</v>
      </c>
      <c r="G338" s="5" t="s">
        <v>2516</v>
      </c>
      <c r="H338" s="5" t="s">
        <v>2517</v>
      </c>
      <c r="I338" s="5" t="s">
        <v>362</v>
      </c>
      <c r="J338" s="5" t="s">
        <v>381</v>
      </c>
      <c r="K338" s="5" t="s">
        <v>382</v>
      </c>
      <c r="L338" s="5" t="s">
        <v>383</v>
      </c>
      <c r="M338" s="5" t="s">
        <v>366</v>
      </c>
    </row>
    <row r="339" spans="1:13" ht="72" customHeight="1" x14ac:dyDescent="0.2">
      <c r="A339" s="5" t="s">
        <v>2518</v>
      </c>
      <c r="B339" s="5" t="s">
        <v>500</v>
      </c>
      <c r="C339" s="5" t="s">
        <v>2519</v>
      </c>
      <c r="D339" s="5" t="s">
        <v>2520</v>
      </c>
      <c r="E339" s="5" t="s">
        <v>359</v>
      </c>
      <c r="F339" s="5" t="s">
        <v>2501</v>
      </c>
      <c r="G339" s="5" t="s">
        <v>2521</v>
      </c>
      <c r="H339" s="5" t="s">
        <v>2522</v>
      </c>
      <c r="I339" s="5" t="s">
        <v>362</v>
      </c>
      <c r="J339" s="5" t="s">
        <v>505</v>
      </c>
      <c r="K339" s="5" t="s">
        <v>392</v>
      </c>
      <c r="L339" s="5" t="s">
        <v>393</v>
      </c>
      <c r="M339" s="5" t="s">
        <v>506</v>
      </c>
    </row>
    <row r="340" spans="1:13" ht="57" customHeight="1" x14ac:dyDescent="0.2">
      <c r="A340" s="5" t="s">
        <v>2523</v>
      </c>
      <c r="B340" s="5" t="s">
        <v>449</v>
      </c>
      <c r="C340" s="5" t="s">
        <v>2524</v>
      </c>
      <c r="D340" s="5" t="s">
        <v>2525</v>
      </c>
      <c r="E340" s="5" t="s">
        <v>359</v>
      </c>
      <c r="F340" s="5" t="s">
        <v>2501</v>
      </c>
      <c r="G340" s="5" t="s">
        <v>2526</v>
      </c>
      <c r="H340" s="5" t="s">
        <v>2527</v>
      </c>
      <c r="I340" s="5" t="s">
        <v>362</v>
      </c>
      <c r="J340" s="5" t="s">
        <v>454</v>
      </c>
      <c r="K340" s="5" t="s">
        <v>392</v>
      </c>
      <c r="L340" s="5" t="s">
        <v>393</v>
      </c>
      <c r="M340" s="5" t="s">
        <v>455</v>
      </c>
    </row>
    <row r="341" spans="1:13" ht="72" customHeight="1" x14ac:dyDescent="0.2">
      <c r="A341" s="5" t="s">
        <v>2528</v>
      </c>
      <c r="B341" s="5" t="s">
        <v>2529</v>
      </c>
      <c r="C341" s="5" t="s">
        <v>2530</v>
      </c>
      <c r="D341" s="5" t="s">
        <v>2531</v>
      </c>
      <c r="E341" s="5" t="s">
        <v>359</v>
      </c>
      <c r="F341" s="5" t="s">
        <v>2501</v>
      </c>
      <c r="G341" s="5" t="s">
        <v>2532</v>
      </c>
      <c r="H341" s="5" t="s">
        <v>2533</v>
      </c>
      <c r="I341" s="5" t="s">
        <v>362</v>
      </c>
      <c r="J341" s="5" t="s">
        <v>2534</v>
      </c>
      <c r="K341" s="5" t="s">
        <v>364</v>
      </c>
      <c r="L341" s="5" t="s">
        <v>2535</v>
      </c>
      <c r="M341" s="5" t="s">
        <v>366</v>
      </c>
    </row>
    <row r="342" spans="1:13" ht="87" customHeight="1" x14ac:dyDescent="0.2">
      <c r="A342" s="5" t="s">
        <v>2536</v>
      </c>
      <c r="B342" s="5" t="s">
        <v>1440</v>
      </c>
      <c r="C342" s="5" t="s">
        <v>2537</v>
      </c>
      <c r="D342" s="5" t="s">
        <v>2538</v>
      </c>
      <c r="E342" s="5" t="s">
        <v>359</v>
      </c>
      <c r="F342" s="5" t="s">
        <v>2501</v>
      </c>
      <c r="G342" s="5" t="s">
        <v>2539</v>
      </c>
      <c r="H342" s="5" t="s">
        <v>2540</v>
      </c>
      <c r="I342" s="5" t="s">
        <v>362</v>
      </c>
      <c r="J342" s="5" t="s">
        <v>1445</v>
      </c>
      <c r="K342" s="5" t="s">
        <v>402</v>
      </c>
      <c r="L342" s="5" t="s">
        <v>1446</v>
      </c>
      <c r="M342" s="5" t="s">
        <v>366</v>
      </c>
    </row>
    <row r="343" spans="1:13" ht="72" customHeight="1" x14ac:dyDescent="0.2">
      <c r="A343" s="5" t="s">
        <v>2541</v>
      </c>
      <c r="B343" s="5" t="s">
        <v>2542</v>
      </c>
      <c r="C343" s="5" t="s">
        <v>2543</v>
      </c>
      <c r="D343" s="5" t="s">
        <v>2544</v>
      </c>
      <c r="E343" s="5" t="s">
        <v>359</v>
      </c>
      <c r="F343" s="5" t="s">
        <v>2501</v>
      </c>
      <c r="G343" s="5" t="s">
        <v>2545</v>
      </c>
      <c r="H343" s="5" t="s">
        <v>2546</v>
      </c>
      <c r="I343" s="5" t="s">
        <v>362</v>
      </c>
      <c r="J343" s="5" t="s">
        <v>2547</v>
      </c>
      <c r="K343" s="5" t="s">
        <v>364</v>
      </c>
      <c r="L343" s="5" t="s">
        <v>2548</v>
      </c>
      <c r="M343" s="5" t="s">
        <v>366</v>
      </c>
    </row>
    <row r="344" spans="1:13" ht="57" customHeight="1" x14ac:dyDescent="0.2">
      <c r="A344" s="5" t="s">
        <v>2549</v>
      </c>
      <c r="B344" s="5" t="s">
        <v>2550</v>
      </c>
      <c r="C344" s="5" t="s">
        <v>2551</v>
      </c>
      <c r="D344" s="5" t="s">
        <v>2552</v>
      </c>
      <c r="E344" s="5" t="s">
        <v>359</v>
      </c>
      <c r="F344" s="5" t="s">
        <v>2501</v>
      </c>
      <c r="G344" s="5" t="s">
        <v>2553</v>
      </c>
      <c r="H344" s="5" t="s">
        <v>2554</v>
      </c>
      <c r="I344" s="5" t="s">
        <v>362</v>
      </c>
      <c r="J344" s="5" t="s">
        <v>2555</v>
      </c>
      <c r="K344" s="5" t="s">
        <v>402</v>
      </c>
      <c r="L344" s="5" t="s">
        <v>2556</v>
      </c>
      <c r="M344" s="5" t="s">
        <v>366</v>
      </c>
    </row>
    <row r="345" spans="1:13" ht="72" customHeight="1" x14ac:dyDescent="0.2">
      <c r="A345" s="5" t="s">
        <v>2557</v>
      </c>
      <c r="B345" s="5" t="s">
        <v>2558</v>
      </c>
      <c r="C345" s="5" t="s">
        <v>2559</v>
      </c>
      <c r="D345" s="5" t="s">
        <v>2560</v>
      </c>
      <c r="E345" s="5" t="s">
        <v>359</v>
      </c>
      <c r="F345" s="5" t="s">
        <v>2501</v>
      </c>
      <c r="G345" s="5" t="s">
        <v>2561</v>
      </c>
      <c r="H345" s="5" t="s">
        <v>2562</v>
      </c>
      <c r="I345" s="5" t="s">
        <v>362</v>
      </c>
      <c r="J345" s="5" t="s">
        <v>2563</v>
      </c>
      <c r="K345" s="5" t="s">
        <v>364</v>
      </c>
      <c r="L345" s="5" t="s">
        <v>2564</v>
      </c>
      <c r="M345" s="5" t="s">
        <v>366</v>
      </c>
    </row>
    <row r="346" spans="1:13" ht="72" customHeight="1" x14ac:dyDescent="0.2">
      <c r="A346" s="5" t="s">
        <v>2565</v>
      </c>
      <c r="B346" s="5" t="s">
        <v>2566</v>
      </c>
      <c r="C346" s="5" t="s">
        <v>2567</v>
      </c>
      <c r="D346" s="5" t="s">
        <v>2568</v>
      </c>
      <c r="E346" s="5" t="s">
        <v>359</v>
      </c>
      <c r="F346" s="5" t="s">
        <v>2501</v>
      </c>
      <c r="G346" s="5" t="s">
        <v>2569</v>
      </c>
      <c r="H346" s="5" t="s">
        <v>2570</v>
      </c>
      <c r="I346" s="5" t="s">
        <v>362</v>
      </c>
      <c r="J346" s="5" t="s">
        <v>2571</v>
      </c>
      <c r="K346" s="5" t="s">
        <v>364</v>
      </c>
      <c r="L346" s="5" t="s">
        <v>2572</v>
      </c>
      <c r="M346" s="5" t="s">
        <v>366</v>
      </c>
    </row>
    <row r="347" spans="1:13" ht="72" customHeight="1" x14ac:dyDescent="0.2">
      <c r="A347" s="5" t="s">
        <v>2573</v>
      </c>
      <c r="B347" s="5" t="s">
        <v>2574</v>
      </c>
      <c r="C347" s="5" t="s">
        <v>2575</v>
      </c>
      <c r="D347" s="5" t="s">
        <v>2576</v>
      </c>
      <c r="E347" s="5" t="s">
        <v>359</v>
      </c>
      <c r="F347" s="5" t="s">
        <v>2501</v>
      </c>
      <c r="G347" s="5" t="s">
        <v>2577</v>
      </c>
      <c r="H347" s="5" t="s">
        <v>2578</v>
      </c>
      <c r="I347" s="5" t="s">
        <v>362</v>
      </c>
      <c r="J347" s="5" t="s">
        <v>2579</v>
      </c>
      <c r="K347" s="5" t="s">
        <v>364</v>
      </c>
      <c r="L347" s="5" t="s">
        <v>2580</v>
      </c>
      <c r="M347" s="5" t="s">
        <v>366</v>
      </c>
    </row>
    <row r="348" spans="1:13" ht="72" customHeight="1" x14ac:dyDescent="0.2">
      <c r="A348" s="5" t="s">
        <v>2581</v>
      </c>
      <c r="B348" s="5" t="s">
        <v>2582</v>
      </c>
      <c r="C348" s="5" t="s">
        <v>2583</v>
      </c>
      <c r="D348" s="5" t="s">
        <v>2584</v>
      </c>
      <c r="E348" s="5" t="s">
        <v>359</v>
      </c>
      <c r="F348" s="5" t="s">
        <v>2501</v>
      </c>
      <c r="G348" s="5" t="s">
        <v>2585</v>
      </c>
      <c r="H348" s="5" t="s">
        <v>2586</v>
      </c>
      <c r="I348" s="5" t="s">
        <v>362</v>
      </c>
      <c r="J348" s="5" t="s">
        <v>2587</v>
      </c>
      <c r="K348" s="5" t="s">
        <v>364</v>
      </c>
      <c r="L348" s="5" t="s">
        <v>2588</v>
      </c>
      <c r="M348" s="5" t="s">
        <v>366</v>
      </c>
    </row>
    <row r="349" spans="1:13" ht="87" customHeight="1" x14ac:dyDescent="0.2">
      <c r="A349" s="5" t="s">
        <v>2589</v>
      </c>
      <c r="B349" s="5" t="s">
        <v>2590</v>
      </c>
      <c r="C349" s="5" t="s">
        <v>2591</v>
      </c>
      <c r="D349" s="5" t="s">
        <v>2592</v>
      </c>
      <c r="E349" s="5" t="s">
        <v>347</v>
      </c>
      <c r="F349" s="5" t="s">
        <v>2593</v>
      </c>
      <c r="G349" s="5"/>
      <c r="H349" s="5" t="s">
        <v>349</v>
      </c>
      <c r="I349" s="5" t="s">
        <v>350</v>
      </c>
      <c r="J349" s="5" t="s">
        <v>351</v>
      </c>
      <c r="K349" s="5" t="s">
        <v>352</v>
      </c>
      <c r="L349" s="5" t="s">
        <v>353</v>
      </c>
      <c r="M349" s="5" t="s">
        <v>2594</v>
      </c>
    </row>
    <row r="350" spans="1:13" ht="57" customHeight="1" x14ac:dyDescent="0.2">
      <c r="A350" s="5" t="s">
        <v>2595</v>
      </c>
      <c r="B350" s="5" t="s">
        <v>356</v>
      </c>
      <c r="C350" s="5" t="s">
        <v>2596</v>
      </c>
      <c r="D350" s="5" t="s">
        <v>2597</v>
      </c>
      <c r="E350" s="5" t="s">
        <v>359</v>
      </c>
      <c r="F350" s="5" t="s">
        <v>2593</v>
      </c>
      <c r="G350" s="5" t="s">
        <v>2598</v>
      </c>
      <c r="H350" s="5" t="s">
        <v>2599</v>
      </c>
      <c r="I350" s="5" t="s">
        <v>362</v>
      </c>
      <c r="J350" s="5" t="s">
        <v>363</v>
      </c>
      <c r="K350" s="5" t="s">
        <v>364</v>
      </c>
      <c r="L350" s="5" t="s">
        <v>365</v>
      </c>
      <c r="M350" s="5" t="s">
        <v>366</v>
      </c>
    </row>
    <row r="351" spans="1:13" ht="57" customHeight="1" x14ac:dyDescent="0.2">
      <c r="A351" s="5" t="s">
        <v>2600</v>
      </c>
      <c r="B351" s="5" t="s">
        <v>368</v>
      </c>
      <c r="C351" s="5" t="s">
        <v>2601</v>
      </c>
      <c r="D351" s="5" t="s">
        <v>2602</v>
      </c>
      <c r="E351" s="5" t="s">
        <v>359</v>
      </c>
      <c r="F351" s="5" t="s">
        <v>2593</v>
      </c>
      <c r="G351" s="5" t="s">
        <v>2603</v>
      </c>
      <c r="H351" s="5" t="s">
        <v>2604</v>
      </c>
      <c r="I351" s="5" t="s">
        <v>362</v>
      </c>
      <c r="J351" s="5" t="s">
        <v>373</v>
      </c>
      <c r="K351" s="5" t="s">
        <v>364</v>
      </c>
      <c r="L351" s="5" t="s">
        <v>374</v>
      </c>
      <c r="M351" s="5" t="s">
        <v>366</v>
      </c>
    </row>
    <row r="352" spans="1:13" ht="57" customHeight="1" x14ac:dyDescent="0.2">
      <c r="A352" s="5" t="s">
        <v>2605</v>
      </c>
      <c r="B352" s="5" t="s">
        <v>376</v>
      </c>
      <c r="C352" s="5" t="s">
        <v>2606</v>
      </c>
      <c r="D352" s="5" t="s">
        <v>2607</v>
      </c>
      <c r="E352" s="5" t="s">
        <v>359</v>
      </c>
      <c r="F352" s="5" t="s">
        <v>2593</v>
      </c>
      <c r="G352" s="5" t="s">
        <v>2608</v>
      </c>
      <c r="H352" s="5" t="s">
        <v>2609</v>
      </c>
      <c r="I352" s="5" t="s">
        <v>362</v>
      </c>
      <c r="J352" s="5" t="s">
        <v>381</v>
      </c>
      <c r="K352" s="5" t="s">
        <v>382</v>
      </c>
      <c r="L352" s="5" t="s">
        <v>383</v>
      </c>
      <c r="M352" s="5" t="s">
        <v>366</v>
      </c>
    </row>
    <row r="353" spans="1:13" ht="72" customHeight="1" x14ac:dyDescent="0.2">
      <c r="A353" s="5" t="s">
        <v>2610</v>
      </c>
      <c r="B353" s="5" t="s">
        <v>500</v>
      </c>
      <c r="C353" s="5" t="s">
        <v>2611</v>
      </c>
      <c r="D353" s="5" t="s">
        <v>2612</v>
      </c>
      <c r="E353" s="5" t="s">
        <v>359</v>
      </c>
      <c r="F353" s="5" t="s">
        <v>2593</v>
      </c>
      <c r="G353" s="5" t="s">
        <v>2613</v>
      </c>
      <c r="H353" s="5" t="s">
        <v>2614</v>
      </c>
      <c r="I353" s="5" t="s">
        <v>362</v>
      </c>
      <c r="J353" s="5" t="s">
        <v>505</v>
      </c>
      <c r="K353" s="5" t="s">
        <v>392</v>
      </c>
      <c r="L353" s="5" t="s">
        <v>393</v>
      </c>
      <c r="M353" s="5" t="s">
        <v>506</v>
      </c>
    </row>
    <row r="354" spans="1:13" ht="57" customHeight="1" x14ac:dyDescent="0.2">
      <c r="A354" s="5" t="s">
        <v>2615</v>
      </c>
      <c r="B354" s="5" t="s">
        <v>2616</v>
      </c>
      <c r="C354" s="5" t="s">
        <v>2617</v>
      </c>
      <c r="D354" s="5" t="s">
        <v>2618</v>
      </c>
      <c r="E354" s="5" t="s">
        <v>359</v>
      </c>
      <c r="F354" s="5" t="s">
        <v>2593</v>
      </c>
      <c r="G354" s="5" t="s">
        <v>2619</v>
      </c>
      <c r="H354" s="5" t="s">
        <v>2620</v>
      </c>
      <c r="I354" s="5" t="s">
        <v>362</v>
      </c>
      <c r="J354" s="5" t="s">
        <v>2621</v>
      </c>
      <c r="K354" s="5" t="s">
        <v>571</v>
      </c>
      <c r="L354" s="5" t="s">
        <v>572</v>
      </c>
      <c r="M354" s="5" t="s">
        <v>2622</v>
      </c>
    </row>
    <row r="355" spans="1:13" ht="72" customHeight="1" x14ac:dyDescent="0.2">
      <c r="A355" s="5" t="s">
        <v>2623</v>
      </c>
      <c r="B355" s="5" t="s">
        <v>2624</v>
      </c>
      <c r="C355" s="5" t="s">
        <v>2625</v>
      </c>
      <c r="D355" s="5" t="s">
        <v>2626</v>
      </c>
      <c r="E355" s="5" t="s">
        <v>359</v>
      </c>
      <c r="F355" s="5" t="s">
        <v>2593</v>
      </c>
      <c r="G355" s="5" t="s">
        <v>2627</v>
      </c>
      <c r="H355" s="5" t="s">
        <v>2628</v>
      </c>
      <c r="I355" s="5" t="s">
        <v>362</v>
      </c>
      <c r="J355" s="5" t="s">
        <v>2629</v>
      </c>
      <c r="K355" s="5" t="s">
        <v>364</v>
      </c>
      <c r="L355" s="5" t="s">
        <v>2630</v>
      </c>
      <c r="M355" s="5" t="s">
        <v>366</v>
      </c>
    </row>
    <row r="356" spans="1:13" ht="72" customHeight="1" x14ac:dyDescent="0.2">
      <c r="A356" s="5" t="s">
        <v>2631</v>
      </c>
      <c r="B356" s="5" t="s">
        <v>2632</v>
      </c>
      <c r="C356" s="5" t="s">
        <v>2633</v>
      </c>
      <c r="D356" s="5" t="s">
        <v>2634</v>
      </c>
      <c r="E356" s="5" t="s">
        <v>359</v>
      </c>
      <c r="F356" s="5" t="s">
        <v>2593</v>
      </c>
      <c r="G356" s="5" t="s">
        <v>2635</v>
      </c>
      <c r="H356" s="5" t="s">
        <v>2636</v>
      </c>
      <c r="I356" s="5" t="s">
        <v>362</v>
      </c>
      <c r="J356" s="5" t="s">
        <v>2637</v>
      </c>
      <c r="K356" s="5" t="s">
        <v>364</v>
      </c>
      <c r="L356" s="5" t="s">
        <v>2239</v>
      </c>
      <c r="M356" s="5" t="s">
        <v>366</v>
      </c>
    </row>
    <row r="357" spans="1:13" ht="87" customHeight="1" x14ac:dyDescent="0.2">
      <c r="A357" s="5" t="s">
        <v>2638</v>
      </c>
      <c r="B357" s="5" t="s">
        <v>2639</v>
      </c>
      <c r="C357" s="5" t="s">
        <v>2640</v>
      </c>
      <c r="D357" s="5" t="s">
        <v>2641</v>
      </c>
      <c r="E357" s="5" t="s">
        <v>347</v>
      </c>
      <c r="F357" s="5" t="s">
        <v>2642</v>
      </c>
      <c r="G357" s="5"/>
      <c r="H357" s="5" t="s">
        <v>349</v>
      </c>
      <c r="I357" s="5" t="s">
        <v>350</v>
      </c>
      <c r="J357" s="5" t="s">
        <v>351</v>
      </c>
      <c r="K357" s="5" t="s">
        <v>352</v>
      </c>
      <c r="L357" s="5" t="s">
        <v>353</v>
      </c>
      <c r="M357" s="5" t="s">
        <v>483</v>
      </c>
    </row>
    <row r="358" spans="1:13" ht="57" customHeight="1" x14ac:dyDescent="0.2">
      <c r="A358" s="5" t="s">
        <v>2643</v>
      </c>
      <c r="B358" s="5" t="s">
        <v>356</v>
      </c>
      <c r="C358" s="5" t="s">
        <v>2644</v>
      </c>
      <c r="D358" s="5" t="s">
        <v>2645</v>
      </c>
      <c r="E358" s="5" t="s">
        <v>359</v>
      </c>
      <c r="F358" s="5" t="s">
        <v>2642</v>
      </c>
      <c r="G358" s="5" t="s">
        <v>2646</v>
      </c>
      <c r="H358" s="5" t="s">
        <v>2647</v>
      </c>
      <c r="I358" s="5" t="s">
        <v>362</v>
      </c>
      <c r="J358" s="5" t="s">
        <v>363</v>
      </c>
      <c r="K358" s="5" t="s">
        <v>364</v>
      </c>
      <c r="L358" s="5" t="s">
        <v>365</v>
      </c>
      <c r="M358" s="5" t="s">
        <v>366</v>
      </c>
    </row>
    <row r="359" spans="1:13" ht="57" customHeight="1" x14ac:dyDescent="0.2">
      <c r="A359" s="5" t="s">
        <v>2648</v>
      </c>
      <c r="B359" s="5" t="s">
        <v>368</v>
      </c>
      <c r="C359" s="5" t="s">
        <v>2649</v>
      </c>
      <c r="D359" s="5" t="s">
        <v>2650</v>
      </c>
      <c r="E359" s="5" t="s">
        <v>359</v>
      </c>
      <c r="F359" s="5" t="s">
        <v>2642</v>
      </c>
      <c r="G359" s="5" t="s">
        <v>2651</v>
      </c>
      <c r="H359" s="5" t="s">
        <v>2652</v>
      </c>
      <c r="I359" s="5" t="s">
        <v>362</v>
      </c>
      <c r="J359" s="5" t="s">
        <v>373</v>
      </c>
      <c r="K359" s="5" t="s">
        <v>364</v>
      </c>
      <c r="L359" s="5" t="s">
        <v>374</v>
      </c>
      <c r="M359" s="5" t="s">
        <v>366</v>
      </c>
    </row>
    <row r="360" spans="1:13" ht="57" customHeight="1" x14ac:dyDescent="0.2">
      <c r="A360" s="5" t="s">
        <v>2653</v>
      </c>
      <c r="B360" s="5" t="s">
        <v>376</v>
      </c>
      <c r="C360" s="5" t="s">
        <v>2654</v>
      </c>
      <c r="D360" s="5" t="s">
        <v>2655</v>
      </c>
      <c r="E360" s="5" t="s">
        <v>359</v>
      </c>
      <c r="F360" s="5" t="s">
        <v>2642</v>
      </c>
      <c r="G360" s="5" t="s">
        <v>2656</v>
      </c>
      <c r="H360" s="5" t="s">
        <v>2657</v>
      </c>
      <c r="I360" s="5" t="s">
        <v>362</v>
      </c>
      <c r="J360" s="5" t="s">
        <v>381</v>
      </c>
      <c r="K360" s="5" t="s">
        <v>382</v>
      </c>
      <c r="L360" s="5" t="s">
        <v>383</v>
      </c>
      <c r="M360" s="5" t="s">
        <v>366</v>
      </c>
    </row>
    <row r="361" spans="1:13" ht="72" customHeight="1" x14ac:dyDescent="0.2">
      <c r="A361" s="5" t="s">
        <v>2658</v>
      </c>
      <c r="B361" s="5" t="s">
        <v>500</v>
      </c>
      <c r="C361" s="5" t="s">
        <v>2659</v>
      </c>
      <c r="D361" s="5" t="s">
        <v>2660</v>
      </c>
      <c r="E361" s="5" t="s">
        <v>359</v>
      </c>
      <c r="F361" s="5" t="s">
        <v>2642</v>
      </c>
      <c r="G361" s="5" t="s">
        <v>2661</v>
      </c>
      <c r="H361" s="5" t="s">
        <v>2662</v>
      </c>
      <c r="I361" s="5" t="s">
        <v>362</v>
      </c>
      <c r="J361" s="5" t="s">
        <v>505</v>
      </c>
      <c r="K361" s="5" t="s">
        <v>392</v>
      </c>
      <c r="L361" s="5" t="s">
        <v>393</v>
      </c>
      <c r="M361" s="5" t="s">
        <v>506</v>
      </c>
    </row>
    <row r="362" spans="1:13" ht="57" customHeight="1" x14ac:dyDescent="0.2">
      <c r="A362" s="5" t="s">
        <v>2663</v>
      </c>
      <c r="B362" s="5" t="s">
        <v>2664</v>
      </c>
      <c r="C362" s="5" t="s">
        <v>2665</v>
      </c>
      <c r="D362" s="5" t="s">
        <v>2666</v>
      </c>
      <c r="E362" s="5" t="s">
        <v>359</v>
      </c>
      <c r="F362" s="5" t="s">
        <v>2642</v>
      </c>
      <c r="G362" s="5" t="s">
        <v>2667</v>
      </c>
      <c r="H362" s="5" t="s">
        <v>2668</v>
      </c>
      <c r="I362" s="5" t="s">
        <v>362</v>
      </c>
      <c r="J362" s="5" t="s">
        <v>2669</v>
      </c>
      <c r="K362" s="5" t="s">
        <v>402</v>
      </c>
      <c r="L362" s="5" t="s">
        <v>2670</v>
      </c>
      <c r="M362" s="5" t="s">
        <v>366</v>
      </c>
    </row>
    <row r="363" spans="1:13" ht="72" customHeight="1" x14ac:dyDescent="0.2">
      <c r="A363" s="5" t="s">
        <v>2671</v>
      </c>
      <c r="B363" s="5" t="s">
        <v>2672</v>
      </c>
      <c r="C363" s="5" t="s">
        <v>2673</v>
      </c>
      <c r="D363" s="5" t="s">
        <v>2674</v>
      </c>
      <c r="E363" s="5" t="s">
        <v>359</v>
      </c>
      <c r="F363" s="5" t="s">
        <v>2642</v>
      </c>
      <c r="G363" s="5" t="s">
        <v>2675</v>
      </c>
      <c r="H363" s="5" t="s">
        <v>2676</v>
      </c>
      <c r="I363" s="5" t="s">
        <v>362</v>
      </c>
      <c r="J363" s="5" t="s">
        <v>2677</v>
      </c>
      <c r="K363" s="5" t="s">
        <v>364</v>
      </c>
      <c r="L363" s="5" t="s">
        <v>2678</v>
      </c>
      <c r="M363" s="5" t="s">
        <v>366</v>
      </c>
    </row>
    <row r="364" spans="1:13" ht="72" customHeight="1" x14ac:dyDescent="0.2">
      <c r="A364" s="5" t="s">
        <v>2679</v>
      </c>
      <c r="B364" s="5" t="s">
        <v>2680</v>
      </c>
      <c r="C364" s="5" t="s">
        <v>2681</v>
      </c>
      <c r="D364" s="5" t="s">
        <v>2682</v>
      </c>
      <c r="E364" s="5" t="s">
        <v>359</v>
      </c>
      <c r="F364" s="5" t="s">
        <v>2642</v>
      </c>
      <c r="G364" s="5" t="s">
        <v>2683</v>
      </c>
      <c r="H364" s="5" t="s">
        <v>2684</v>
      </c>
      <c r="I364" s="5" t="s">
        <v>362</v>
      </c>
      <c r="J364" s="5" t="s">
        <v>2685</v>
      </c>
      <c r="K364" s="5" t="s">
        <v>364</v>
      </c>
      <c r="L364" s="5" t="s">
        <v>2686</v>
      </c>
      <c r="M364" s="5" t="s">
        <v>366</v>
      </c>
    </row>
    <row r="365" spans="1:13" ht="72" customHeight="1" x14ac:dyDescent="0.2">
      <c r="A365" s="5" t="s">
        <v>2687</v>
      </c>
      <c r="B365" s="5" t="s">
        <v>2688</v>
      </c>
      <c r="C365" s="5" t="s">
        <v>2689</v>
      </c>
      <c r="D365" s="5" t="s">
        <v>2690</v>
      </c>
      <c r="E365" s="5" t="s">
        <v>359</v>
      </c>
      <c r="F365" s="5" t="s">
        <v>2642</v>
      </c>
      <c r="G365" s="5" t="s">
        <v>2691</v>
      </c>
      <c r="H365" s="5" t="s">
        <v>2692</v>
      </c>
      <c r="I365" s="5" t="s">
        <v>362</v>
      </c>
      <c r="J365" s="5" t="s">
        <v>2693</v>
      </c>
      <c r="K365" s="5" t="s">
        <v>364</v>
      </c>
      <c r="L365" s="5" t="s">
        <v>2694</v>
      </c>
      <c r="M365" s="5" t="s">
        <v>366</v>
      </c>
    </row>
    <row r="366" spans="1:13" ht="87" customHeight="1" x14ac:dyDescent="0.2">
      <c r="A366" s="5" t="s">
        <v>2695</v>
      </c>
      <c r="B366" s="5" t="s">
        <v>2696</v>
      </c>
      <c r="C366" s="5" t="s">
        <v>2697</v>
      </c>
      <c r="D366" s="5" t="s">
        <v>2698</v>
      </c>
      <c r="E366" s="5" t="s">
        <v>359</v>
      </c>
      <c r="F366" s="5" t="s">
        <v>2642</v>
      </c>
      <c r="G366" s="5" t="s">
        <v>2699</v>
      </c>
      <c r="H366" s="5" t="s">
        <v>2700</v>
      </c>
      <c r="I366" s="5" t="s">
        <v>362</v>
      </c>
      <c r="J366" s="5" t="s">
        <v>2701</v>
      </c>
      <c r="K366" s="5" t="s">
        <v>514</v>
      </c>
      <c r="L366" s="5" t="s">
        <v>515</v>
      </c>
      <c r="M366" s="5" t="s">
        <v>366</v>
      </c>
    </row>
    <row r="367" spans="1:13" ht="72" customHeight="1" x14ac:dyDescent="0.2">
      <c r="A367" s="5" t="s">
        <v>2702</v>
      </c>
      <c r="B367" s="5" t="s">
        <v>2703</v>
      </c>
      <c r="C367" s="5" t="s">
        <v>2704</v>
      </c>
      <c r="D367" s="5" t="s">
        <v>2705</v>
      </c>
      <c r="E367" s="5" t="s">
        <v>359</v>
      </c>
      <c r="F367" s="5" t="s">
        <v>2642</v>
      </c>
      <c r="G367" s="5" t="s">
        <v>2706</v>
      </c>
      <c r="H367" s="5" t="s">
        <v>2707</v>
      </c>
      <c r="I367" s="5" t="s">
        <v>362</v>
      </c>
      <c r="J367" s="5" t="s">
        <v>2708</v>
      </c>
      <c r="K367" s="5" t="s">
        <v>364</v>
      </c>
      <c r="L367" s="5" t="s">
        <v>2709</v>
      </c>
      <c r="M367" s="5" t="s">
        <v>366</v>
      </c>
    </row>
    <row r="368" spans="1:13" ht="57" customHeight="1" x14ac:dyDescent="0.2">
      <c r="A368" s="5" t="s">
        <v>2710</v>
      </c>
      <c r="B368" s="5" t="s">
        <v>1558</v>
      </c>
      <c r="C368" s="5" t="s">
        <v>2711</v>
      </c>
      <c r="D368" s="5" t="s">
        <v>2712</v>
      </c>
      <c r="E368" s="5" t="s">
        <v>359</v>
      </c>
      <c r="F368" s="5" t="s">
        <v>2642</v>
      </c>
      <c r="G368" s="5" t="s">
        <v>2713</v>
      </c>
      <c r="H368" s="5" t="s">
        <v>2714</v>
      </c>
      <c r="I368" s="5" t="s">
        <v>390</v>
      </c>
      <c r="J368" s="5" t="s">
        <v>1563</v>
      </c>
      <c r="K368" s="5" t="s">
        <v>392</v>
      </c>
      <c r="L368" s="5" t="s">
        <v>393</v>
      </c>
      <c r="M368" s="5" t="s">
        <v>573</v>
      </c>
    </row>
    <row r="369" spans="1:13" ht="87" customHeight="1" x14ac:dyDescent="0.2">
      <c r="A369" s="5" t="s">
        <v>2715</v>
      </c>
      <c r="B369" s="5" t="s">
        <v>2716</v>
      </c>
      <c r="C369" s="5" t="s">
        <v>2717</v>
      </c>
      <c r="D369" s="5" t="s">
        <v>2718</v>
      </c>
      <c r="E369" s="5" t="s">
        <v>347</v>
      </c>
      <c r="F369" s="5" t="s">
        <v>2719</v>
      </c>
      <c r="G369" s="5"/>
      <c r="H369" s="5" t="s">
        <v>349</v>
      </c>
      <c r="I369" s="5" t="s">
        <v>350</v>
      </c>
      <c r="J369" s="5" t="s">
        <v>351</v>
      </c>
      <c r="K369" s="5" t="s">
        <v>352</v>
      </c>
      <c r="L369" s="5" t="s">
        <v>353</v>
      </c>
      <c r="M369" s="5" t="s">
        <v>1017</v>
      </c>
    </row>
    <row r="370" spans="1:13" ht="57" customHeight="1" x14ac:dyDescent="0.2">
      <c r="A370" s="5" t="s">
        <v>2720</v>
      </c>
      <c r="B370" s="5" t="s">
        <v>356</v>
      </c>
      <c r="C370" s="5" t="s">
        <v>2721</v>
      </c>
      <c r="D370" s="5" t="s">
        <v>2722</v>
      </c>
      <c r="E370" s="5" t="s">
        <v>359</v>
      </c>
      <c r="F370" s="5" t="s">
        <v>2719</v>
      </c>
      <c r="G370" s="5" t="s">
        <v>2723</v>
      </c>
      <c r="H370" s="5" t="s">
        <v>2724</v>
      </c>
      <c r="I370" s="5" t="s">
        <v>362</v>
      </c>
      <c r="J370" s="5" t="s">
        <v>363</v>
      </c>
      <c r="K370" s="5" t="s">
        <v>364</v>
      </c>
      <c r="L370" s="5" t="s">
        <v>365</v>
      </c>
      <c r="M370" s="5" t="s">
        <v>366</v>
      </c>
    </row>
    <row r="371" spans="1:13" ht="57" customHeight="1" x14ac:dyDescent="0.2">
      <c r="A371" s="5" t="s">
        <v>2725</v>
      </c>
      <c r="B371" s="5" t="s">
        <v>368</v>
      </c>
      <c r="C371" s="5" t="s">
        <v>2726</v>
      </c>
      <c r="D371" s="5" t="s">
        <v>2727</v>
      </c>
      <c r="E371" s="5" t="s">
        <v>359</v>
      </c>
      <c r="F371" s="5" t="s">
        <v>2719</v>
      </c>
      <c r="G371" s="5" t="s">
        <v>2728</v>
      </c>
      <c r="H371" s="5" t="s">
        <v>2729</v>
      </c>
      <c r="I371" s="5" t="s">
        <v>362</v>
      </c>
      <c r="J371" s="5" t="s">
        <v>373</v>
      </c>
      <c r="K371" s="5" t="s">
        <v>364</v>
      </c>
      <c r="L371" s="5" t="s">
        <v>374</v>
      </c>
      <c r="M371" s="5" t="s">
        <v>366</v>
      </c>
    </row>
    <row r="372" spans="1:13" ht="57" customHeight="1" x14ac:dyDescent="0.2">
      <c r="A372" s="5" t="s">
        <v>2730</v>
      </c>
      <c r="B372" s="5" t="s">
        <v>376</v>
      </c>
      <c r="C372" s="5" t="s">
        <v>2731</v>
      </c>
      <c r="D372" s="5" t="s">
        <v>2732</v>
      </c>
      <c r="E372" s="5" t="s">
        <v>359</v>
      </c>
      <c r="F372" s="5" t="s">
        <v>2719</v>
      </c>
      <c r="G372" s="5" t="s">
        <v>2733</v>
      </c>
      <c r="H372" s="5" t="s">
        <v>2734</v>
      </c>
      <c r="I372" s="5" t="s">
        <v>362</v>
      </c>
      <c r="J372" s="5" t="s">
        <v>381</v>
      </c>
      <c r="K372" s="5" t="s">
        <v>382</v>
      </c>
      <c r="L372" s="5" t="s">
        <v>383</v>
      </c>
      <c r="M372" s="5" t="s">
        <v>366</v>
      </c>
    </row>
    <row r="373" spans="1:13" ht="72" customHeight="1" x14ac:dyDescent="0.2">
      <c r="A373" s="5" t="s">
        <v>2735</v>
      </c>
      <c r="B373" s="5" t="s">
        <v>500</v>
      </c>
      <c r="C373" s="5" t="s">
        <v>2736</v>
      </c>
      <c r="D373" s="5" t="s">
        <v>2737</v>
      </c>
      <c r="E373" s="5" t="s">
        <v>359</v>
      </c>
      <c r="F373" s="5" t="s">
        <v>2719</v>
      </c>
      <c r="G373" s="5" t="s">
        <v>2738</v>
      </c>
      <c r="H373" s="5" t="s">
        <v>2739</v>
      </c>
      <c r="I373" s="5" t="s">
        <v>362</v>
      </c>
      <c r="J373" s="5" t="s">
        <v>505</v>
      </c>
      <c r="K373" s="5" t="s">
        <v>392</v>
      </c>
      <c r="L373" s="5" t="s">
        <v>393</v>
      </c>
      <c r="M373" s="5" t="s">
        <v>506</v>
      </c>
    </row>
    <row r="374" spans="1:13" ht="72" customHeight="1" x14ac:dyDescent="0.2">
      <c r="A374" s="5" t="s">
        <v>2740</v>
      </c>
      <c r="B374" s="5" t="s">
        <v>2741</v>
      </c>
      <c r="C374" s="5" t="s">
        <v>2742</v>
      </c>
      <c r="D374" s="5" t="s">
        <v>2743</v>
      </c>
      <c r="E374" s="5" t="s">
        <v>359</v>
      </c>
      <c r="F374" s="5" t="s">
        <v>2719</v>
      </c>
      <c r="G374" s="5" t="s">
        <v>2744</v>
      </c>
      <c r="H374" s="5" t="s">
        <v>2745</v>
      </c>
      <c r="I374" s="5" t="s">
        <v>362</v>
      </c>
      <c r="J374" s="5" t="s">
        <v>2746</v>
      </c>
      <c r="K374" s="5" t="s">
        <v>364</v>
      </c>
      <c r="L374" s="5" t="s">
        <v>2747</v>
      </c>
      <c r="M374" s="5" t="s">
        <v>366</v>
      </c>
    </row>
    <row r="375" spans="1:13" ht="72" customHeight="1" x14ac:dyDescent="0.2">
      <c r="A375" s="5" t="s">
        <v>2748</v>
      </c>
      <c r="B375" s="5" t="s">
        <v>2749</v>
      </c>
      <c r="C375" s="5" t="s">
        <v>2750</v>
      </c>
      <c r="D375" s="5" t="s">
        <v>2751</v>
      </c>
      <c r="E375" s="5" t="s">
        <v>359</v>
      </c>
      <c r="F375" s="5" t="s">
        <v>2719</v>
      </c>
      <c r="G375" s="5" t="s">
        <v>2752</v>
      </c>
      <c r="H375" s="5" t="s">
        <v>2753</v>
      </c>
      <c r="I375" s="5" t="s">
        <v>362</v>
      </c>
      <c r="J375" s="5" t="s">
        <v>2754</v>
      </c>
      <c r="K375" s="5" t="s">
        <v>364</v>
      </c>
      <c r="L375" s="5" t="s">
        <v>2755</v>
      </c>
      <c r="M375" s="5" t="s">
        <v>366</v>
      </c>
    </row>
    <row r="376" spans="1:13" ht="72" customHeight="1" x14ac:dyDescent="0.2">
      <c r="A376" s="5" t="s">
        <v>2756</v>
      </c>
      <c r="B376" s="5" t="s">
        <v>2757</v>
      </c>
      <c r="C376" s="5" t="s">
        <v>2758</v>
      </c>
      <c r="D376" s="5" t="s">
        <v>2759</v>
      </c>
      <c r="E376" s="5" t="s">
        <v>359</v>
      </c>
      <c r="F376" s="5" t="s">
        <v>2719</v>
      </c>
      <c r="G376" s="5" t="s">
        <v>2760</v>
      </c>
      <c r="H376" s="5" t="s">
        <v>2761</v>
      </c>
      <c r="I376" s="5" t="s">
        <v>362</v>
      </c>
      <c r="J376" s="5" t="s">
        <v>2762</v>
      </c>
      <c r="K376" s="5" t="s">
        <v>402</v>
      </c>
      <c r="L376" s="5" t="s">
        <v>2763</v>
      </c>
      <c r="M376" s="5" t="s">
        <v>366</v>
      </c>
    </row>
    <row r="377" spans="1:13" ht="72" customHeight="1" x14ac:dyDescent="0.2">
      <c r="A377" s="5" t="s">
        <v>2764</v>
      </c>
      <c r="B377" s="5" t="s">
        <v>2765</v>
      </c>
      <c r="C377" s="5" t="s">
        <v>2766</v>
      </c>
      <c r="D377" s="5" t="s">
        <v>2767</v>
      </c>
      <c r="E377" s="5" t="s">
        <v>359</v>
      </c>
      <c r="F377" s="5" t="s">
        <v>2719</v>
      </c>
      <c r="G377" s="5" t="s">
        <v>2768</v>
      </c>
      <c r="H377" s="5" t="s">
        <v>2769</v>
      </c>
      <c r="I377" s="5" t="s">
        <v>362</v>
      </c>
      <c r="J377" s="5" t="s">
        <v>2770</v>
      </c>
      <c r="K377" s="5" t="s">
        <v>364</v>
      </c>
      <c r="L377" s="5" t="s">
        <v>2771</v>
      </c>
      <c r="M377" s="5" t="s">
        <v>366</v>
      </c>
    </row>
    <row r="378" spans="1:13" ht="72" customHeight="1" x14ac:dyDescent="0.2">
      <c r="A378" s="5" t="s">
        <v>2772</v>
      </c>
      <c r="B378" s="5" t="s">
        <v>2773</v>
      </c>
      <c r="C378" s="5" t="s">
        <v>2774</v>
      </c>
      <c r="D378" s="5" t="s">
        <v>2775</v>
      </c>
      <c r="E378" s="5" t="s">
        <v>359</v>
      </c>
      <c r="F378" s="5" t="s">
        <v>2719</v>
      </c>
      <c r="G378" s="5" t="s">
        <v>2776</v>
      </c>
      <c r="H378" s="5" t="s">
        <v>2777</v>
      </c>
      <c r="I378" s="5" t="s">
        <v>362</v>
      </c>
      <c r="J378" s="5" t="s">
        <v>2778</v>
      </c>
      <c r="K378" s="5" t="s">
        <v>364</v>
      </c>
      <c r="L378" s="5" t="s">
        <v>2779</v>
      </c>
      <c r="M378" s="5" t="s">
        <v>366</v>
      </c>
    </row>
    <row r="379" spans="1:13" ht="72" customHeight="1" x14ac:dyDescent="0.2">
      <c r="A379" s="5" t="s">
        <v>2780</v>
      </c>
      <c r="B379" s="5" t="s">
        <v>2781</v>
      </c>
      <c r="C379" s="5" t="s">
        <v>2782</v>
      </c>
      <c r="D379" s="5" t="s">
        <v>2783</v>
      </c>
      <c r="E379" s="5" t="s">
        <v>359</v>
      </c>
      <c r="F379" s="5" t="s">
        <v>2719</v>
      </c>
      <c r="G379" s="5" t="s">
        <v>2784</v>
      </c>
      <c r="H379" s="5" t="s">
        <v>2785</v>
      </c>
      <c r="I379" s="5" t="s">
        <v>362</v>
      </c>
      <c r="J379" s="5" t="s">
        <v>2786</v>
      </c>
      <c r="K379" s="5" t="s">
        <v>364</v>
      </c>
      <c r="L379" s="5" t="s">
        <v>2630</v>
      </c>
      <c r="M379" s="5" t="s">
        <v>366</v>
      </c>
    </row>
    <row r="380" spans="1:13" ht="87" customHeight="1" x14ac:dyDescent="0.2">
      <c r="A380" s="5" t="s">
        <v>2787</v>
      </c>
      <c r="B380" s="5" t="s">
        <v>2788</v>
      </c>
      <c r="C380" s="5" t="s">
        <v>2789</v>
      </c>
      <c r="D380" s="5" t="s">
        <v>2790</v>
      </c>
      <c r="E380" s="5" t="s">
        <v>347</v>
      </c>
      <c r="F380" s="5" t="s">
        <v>2791</v>
      </c>
      <c r="G380" s="5"/>
      <c r="H380" s="5" t="s">
        <v>349</v>
      </c>
      <c r="I380" s="5" t="s">
        <v>350</v>
      </c>
      <c r="J380" s="5" t="s">
        <v>351</v>
      </c>
      <c r="K380" s="5" t="s">
        <v>352</v>
      </c>
      <c r="L380" s="5" t="s">
        <v>353</v>
      </c>
      <c r="M380" s="5" t="s">
        <v>2792</v>
      </c>
    </row>
    <row r="381" spans="1:13" ht="57" customHeight="1" x14ac:dyDescent="0.2">
      <c r="A381" s="5" t="s">
        <v>2793</v>
      </c>
      <c r="B381" s="5" t="s">
        <v>356</v>
      </c>
      <c r="C381" s="5" t="s">
        <v>2794</v>
      </c>
      <c r="D381" s="5" t="s">
        <v>2795</v>
      </c>
      <c r="E381" s="5" t="s">
        <v>359</v>
      </c>
      <c r="F381" s="5" t="s">
        <v>2791</v>
      </c>
      <c r="G381" s="5" t="s">
        <v>2796</v>
      </c>
      <c r="H381" s="5" t="s">
        <v>2797</v>
      </c>
      <c r="I381" s="5" t="s">
        <v>362</v>
      </c>
      <c r="J381" s="5" t="s">
        <v>363</v>
      </c>
      <c r="K381" s="5" t="s">
        <v>364</v>
      </c>
      <c r="L381" s="5" t="s">
        <v>365</v>
      </c>
      <c r="M381" s="5" t="s">
        <v>366</v>
      </c>
    </row>
    <row r="382" spans="1:13" ht="57" customHeight="1" x14ac:dyDescent="0.2">
      <c r="A382" s="5" t="s">
        <v>2798</v>
      </c>
      <c r="B382" s="5" t="s">
        <v>368</v>
      </c>
      <c r="C382" s="5" t="s">
        <v>2799</v>
      </c>
      <c r="D382" s="5" t="s">
        <v>2800</v>
      </c>
      <c r="E382" s="5" t="s">
        <v>359</v>
      </c>
      <c r="F382" s="5" t="s">
        <v>2791</v>
      </c>
      <c r="G382" s="5" t="s">
        <v>2801</v>
      </c>
      <c r="H382" s="5" t="s">
        <v>2802</v>
      </c>
      <c r="I382" s="5" t="s">
        <v>362</v>
      </c>
      <c r="J382" s="5" t="s">
        <v>373</v>
      </c>
      <c r="K382" s="5" t="s">
        <v>364</v>
      </c>
      <c r="L382" s="5" t="s">
        <v>374</v>
      </c>
      <c r="M382" s="5" t="s">
        <v>366</v>
      </c>
    </row>
    <row r="383" spans="1:13" ht="57" customHeight="1" x14ac:dyDescent="0.2">
      <c r="A383" s="5" t="s">
        <v>2803</v>
      </c>
      <c r="B383" s="5" t="s">
        <v>376</v>
      </c>
      <c r="C383" s="5" t="s">
        <v>2804</v>
      </c>
      <c r="D383" s="5" t="s">
        <v>2805</v>
      </c>
      <c r="E383" s="5" t="s">
        <v>359</v>
      </c>
      <c r="F383" s="5" t="s">
        <v>2791</v>
      </c>
      <c r="G383" s="5" t="s">
        <v>2806</v>
      </c>
      <c r="H383" s="5" t="s">
        <v>2807</v>
      </c>
      <c r="I383" s="5" t="s">
        <v>362</v>
      </c>
      <c r="J383" s="5" t="s">
        <v>381</v>
      </c>
      <c r="K383" s="5" t="s">
        <v>382</v>
      </c>
      <c r="L383" s="5" t="s">
        <v>383</v>
      </c>
      <c r="M383" s="5" t="s">
        <v>366</v>
      </c>
    </row>
    <row r="384" spans="1:13" ht="72" customHeight="1" x14ac:dyDescent="0.2">
      <c r="A384" s="5" t="s">
        <v>2808</v>
      </c>
      <c r="B384" s="5" t="s">
        <v>500</v>
      </c>
      <c r="C384" s="5" t="s">
        <v>2809</v>
      </c>
      <c r="D384" s="5" t="s">
        <v>2810</v>
      </c>
      <c r="E384" s="5" t="s">
        <v>359</v>
      </c>
      <c r="F384" s="5" t="s">
        <v>2791</v>
      </c>
      <c r="G384" s="5" t="s">
        <v>2811</v>
      </c>
      <c r="H384" s="5" t="s">
        <v>2812</v>
      </c>
      <c r="I384" s="5" t="s">
        <v>362</v>
      </c>
      <c r="J384" s="5" t="s">
        <v>505</v>
      </c>
      <c r="K384" s="5" t="s">
        <v>392</v>
      </c>
      <c r="L384" s="5" t="s">
        <v>393</v>
      </c>
      <c r="M384" s="5" t="s">
        <v>506</v>
      </c>
    </row>
    <row r="385" spans="1:13" ht="57" customHeight="1" x14ac:dyDescent="0.2">
      <c r="A385" s="5" t="s">
        <v>2813</v>
      </c>
      <c r="B385" s="5" t="s">
        <v>420</v>
      </c>
      <c r="C385" s="5" t="s">
        <v>2814</v>
      </c>
      <c r="D385" s="5" t="s">
        <v>2815</v>
      </c>
      <c r="E385" s="5" t="s">
        <v>359</v>
      </c>
      <c r="F385" s="5" t="s">
        <v>2791</v>
      </c>
      <c r="G385" s="5" t="s">
        <v>2816</v>
      </c>
      <c r="H385" s="5" t="s">
        <v>2817</v>
      </c>
      <c r="I385" s="5" t="s">
        <v>362</v>
      </c>
      <c r="J385" s="5" t="s">
        <v>425</v>
      </c>
      <c r="K385" s="5" t="s">
        <v>392</v>
      </c>
      <c r="L385" s="5" t="s">
        <v>393</v>
      </c>
      <c r="M385" s="5" t="s">
        <v>426</v>
      </c>
    </row>
    <row r="386" spans="1:13" ht="57" customHeight="1" x14ac:dyDescent="0.2">
      <c r="A386" s="5" t="s">
        <v>2818</v>
      </c>
      <c r="B386" s="5" t="s">
        <v>420</v>
      </c>
      <c r="C386" s="5" t="s">
        <v>2819</v>
      </c>
      <c r="D386" s="5" t="s">
        <v>2820</v>
      </c>
      <c r="E386" s="5" t="s">
        <v>359</v>
      </c>
      <c r="F386" s="5" t="s">
        <v>2791</v>
      </c>
      <c r="G386" s="5" t="s">
        <v>2821</v>
      </c>
      <c r="H386" s="5" t="s">
        <v>2822</v>
      </c>
      <c r="I386" s="5" t="s">
        <v>362</v>
      </c>
      <c r="J386" s="5" t="s">
        <v>425</v>
      </c>
      <c r="K386" s="5" t="s">
        <v>392</v>
      </c>
      <c r="L386" s="5" t="s">
        <v>393</v>
      </c>
      <c r="M386" s="5" t="s">
        <v>426</v>
      </c>
    </row>
    <row r="387" spans="1:13" ht="72" customHeight="1" x14ac:dyDescent="0.2">
      <c r="A387" s="5" t="s">
        <v>2823</v>
      </c>
      <c r="B387" s="5" t="s">
        <v>2824</v>
      </c>
      <c r="C387" s="5" t="s">
        <v>2825</v>
      </c>
      <c r="D387" s="5" t="s">
        <v>2826</v>
      </c>
      <c r="E387" s="5" t="s">
        <v>359</v>
      </c>
      <c r="F387" s="5" t="s">
        <v>2791</v>
      </c>
      <c r="G387" s="5" t="s">
        <v>2827</v>
      </c>
      <c r="H387" s="5" t="s">
        <v>2828</v>
      </c>
      <c r="I387" s="5" t="s">
        <v>362</v>
      </c>
      <c r="J387" s="5" t="s">
        <v>2829</v>
      </c>
      <c r="K387" s="5" t="s">
        <v>364</v>
      </c>
      <c r="L387" s="5" t="s">
        <v>2217</v>
      </c>
      <c r="M387" s="5" t="s">
        <v>366</v>
      </c>
    </row>
    <row r="388" spans="1:13" ht="87" customHeight="1" x14ac:dyDescent="0.2">
      <c r="A388" s="5" t="s">
        <v>2830</v>
      </c>
      <c r="B388" s="5" t="s">
        <v>2831</v>
      </c>
      <c r="C388" s="5" t="s">
        <v>2832</v>
      </c>
      <c r="D388" s="5" t="s">
        <v>2833</v>
      </c>
      <c r="E388" s="5" t="s">
        <v>359</v>
      </c>
      <c r="F388" s="5" t="s">
        <v>2791</v>
      </c>
      <c r="G388" s="5" t="s">
        <v>2834</v>
      </c>
      <c r="H388" s="5" t="s">
        <v>2835</v>
      </c>
      <c r="I388" s="5" t="s">
        <v>362</v>
      </c>
      <c r="J388" s="5" t="s">
        <v>2836</v>
      </c>
      <c r="K388" s="5" t="s">
        <v>514</v>
      </c>
      <c r="L388" s="5" t="s">
        <v>515</v>
      </c>
      <c r="M388" s="5" t="s">
        <v>366</v>
      </c>
    </row>
    <row r="389" spans="1:13" ht="102" customHeight="1" x14ac:dyDescent="0.2">
      <c r="A389" s="5" t="s">
        <v>2837</v>
      </c>
      <c r="B389" s="5" t="s">
        <v>2838</v>
      </c>
      <c r="C389" s="5" t="s">
        <v>2839</v>
      </c>
      <c r="D389" s="5" t="s">
        <v>2840</v>
      </c>
      <c r="E389" s="5" t="s">
        <v>359</v>
      </c>
      <c r="F389" s="5" t="s">
        <v>2791</v>
      </c>
      <c r="G389" s="5" t="s">
        <v>2841</v>
      </c>
      <c r="H389" s="5" t="s">
        <v>2842</v>
      </c>
      <c r="I389" s="5" t="s">
        <v>362</v>
      </c>
      <c r="J389" s="5" t="s">
        <v>2843</v>
      </c>
      <c r="K389" s="5" t="s">
        <v>364</v>
      </c>
      <c r="L389" s="5" t="s">
        <v>2844</v>
      </c>
      <c r="M389" s="5" t="s">
        <v>366</v>
      </c>
    </row>
    <row r="390" spans="1:13" ht="72" customHeight="1" x14ac:dyDescent="0.2">
      <c r="A390" s="5" t="s">
        <v>2845</v>
      </c>
      <c r="B390" s="5" t="s">
        <v>2846</v>
      </c>
      <c r="C390" s="5" t="s">
        <v>2847</v>
      </c>
      <c r="D390" s="5" t="s">
        <v>2848</v>
      </c>
      <c r="E390" s="5" t="s">
        <v>359</v>
      </c>
      <c r="F390" s="5" t="s">
        <v>2791</v>
      </c>
      <c r="G390" s="5" t="s">
        <v>2849</v>
      </c>
      <c r="H390" s="5" t="s">
        <v>2850</v>
      </c>
      <c r="I390" s="5" t="s">
        <v>362</v>
      </c>
      <c r="J390" s="5" t="s">
        <v>2851</v>
      </c>
      <c r="K390" s="5" t="s">
        <v>364</v>
      </c>
      <c r="L390" s="5" t="s">
        <v>2852</v>
      </c>
      <c r="M390" s="5" t="s">
        <v>366</v>
      </c>
    </row>
    <row r="391" spans="1:13" ht="72" customHeight="1" x14ac:dyDescent="0.2">
      <c r="A391" s="5" t="s">
        <v>2853</v>
      </c>
      <c r="B391" s="5" t="s">
        <v>2854</v>
      </c>
      <c r="C391" s="5" t="s">
        <v>2855</v>
      </c>
      <c r="D391" s="5" t="s">
        <v>2856</v>
      </c>
      <c r="E391" s="5" t="s">
        <v>359</v>
      </c>
      <c r="F391" s="5" t="s">
        <v>2791</v>
      </c>
      <c r="G391" s="5" t="s">
        <v>2857</v>
      </c>
      <c r="H391" s="5" t="s">
        <v>2858</v>
      </c>
      <c r="I391" s="5" t="s">
        <v>362</v>
      </c>
      <c r="J391" s="5" t="s">
        <v>2859</v>
      </c>
      <c r="K391" s="5" t="s">
        <v>364</v>
      </c>
      <c r="L391" s="5" t="s">
        <v>2860</v>
      </c>
      <c r="M391" s="5" t="s">
        <v>366</v>
      </c>
    </row>
    <row r="392" spans="1:13" ht="72" customHeight="1" x14ac:dyDescent="0.2">
      <c r="A392" s="5" t="s">
        <v>2861</v>
      </c>
      <c r="B392" s="5" t="s">
        <v>2862</v>
      </c>
      <c r="C392" s="5" t="s">
        <v>2863</v>
      </c>
      <c r="D392" s="5" t="s">
        <v>2864</v>
      </c>
      <c r="E392" s="5" t="s">
        <v>359</v>
      </c>
      <c r="F392" s="5" t="s">
        <v>2791</v>
      </c>
      <c r="G392" s="5" t="s">
        <v>2865</v>
      </c>
      <c r="H392" s="5" t="s">
        <v>2866</v>
      </c>
      <c r="I392" s="5" t="s">
        <v>362</v>
      </c>
      <c r="J392" s="5" t="s">
        <v>2867</v>
      </c>
      <c r="K392" s="5" t="s">
        <v>402</v>
      </c>
      <c r="L392" s="5" t="s">
        <v>2868</v>
      </c>
      <c r="M392" s="5" t="s">
        <v>366</v>
      </c>
    </row>
    <row r="393" spans="1:13" ht="72" customHeight="1" x14ac:dyDescent="0.2">
      <c r="A393" s="5" t="s">
        <v>2869</v>
      </c>
      <c r="B393" s="5" t="s">
        <v>2870</v>
      </c>
      <c r="C393" s="5" t="s">
        <v>2871</v>
      </c>
      <c r="D393" s="5" t="s">
        <v>2872</v>
      </c>
      <c r="E393" s="5" t="s">
        <v>359</v>
      </c>
      <c r="F393" s="5" t="s">
        <v>2791</v>
      </c>
      <c r="G393" s="5" t="s">
        <v>2873</v>
      </c>
      <c r="H393" s="5" t="s">
        <v>2874</v>
      </c>
      <c r="I393" s="5" t="s">
        <v>362</v>
      </c>
      <c r="J393" s="5" t="s">
        <v>2875</v>
      </c>
      <c r="K393" s="5" t="s">
        <v>364</v>
      </c>
      <c r="L393" s="5" t="s">
        <v>2876</v>
      </c>
      <c r="M393" s="5" t="s">
        <v>366</v>
      </c>
    </row>
    <row r="394" spans="1:13" ht="72" customHeight="1" x14ac:dyDescent="0.2">
      <c r="A394" s="5" t="s">
        <v>2877</v>
      </c>
      <c r="B394" s="5" t="s">
        <v>2878</v>
      </c>
      <c r="C394" s="5" t="s">
        <v>2879</v>
      </c>
      <c r="D394" s="5" t="s">
        <v>2880</v>
      </c>
      <c r="E394" s="5" t="s">
        <v>359</v>
      </c>
      <c r="F394" s="5" t="s">
        <v>2791</v>
      </c>
      <c r="G394" s="5" t="s">
        <v>2881</v>
      </c>
      <c r="H394" s="5" t="s">
        <v>2882</v>
      </c>
      <c r="I394" s="5" t="s">
        <v>362</v>
      </c>
      <c r="J394" s="5" t="s">
        <v>2883</v>
      </c>
      <c r="K394" s="5" t="s">
        <v>402</v>
      </c>
      <c r="L394" s="5" t="s">
        <v>2884</v>
      </c>
      <c r="M394" s="5" t="s">
        <v>366</v>
      </c>
    </row>
    <row r="395" spans="1:13" ht="102" customHeight="1" x14ac:dyDescent="0.2">
      <c r="A395" s="5" t="s">
        <v>2885</v>
      </c>
      <c r="B395" s="5" t="s">
        <v>2886</v>
      </c>
      <c r="C395" s="5" t="s">
        <v>2887</v>
      </c>
      <c r="D395" s="5" t="s">
        <v>2888</v>
      </c>
      <c r="E395" s="5" t="s">
        <v>359</v>
      </c>
      <c r="F395" s="5" t="s">
        <v>2791</v>
      </c>
      <c r="G395" s="5" t="s">
        <v>2889</v>
      </c>
      <c r="H395" s="5" t="s">
        <v>2890</v>
      </c>
      <c r="I395" s="5" t="s">
        <v>362</v>
      </c>
      <c r="J395" s="5" t="s">
        <v>2891</v>
      </c>
      <c r="K395" s="5" t="s">
        <v>364</v>
      </c>
      <c r="L395" s="5" t="s">
        <v>2892</v>
      </c>
      <c r="M395" s="5" t="s">
        <v>366</v>
      </c>
    </row>
    <row r="396" spans="1:13" ht="87" customHeight="1" x14ac:dyDescent="0.2">
      <c r="A396" s="5" t="s">
        <v>2893</v>
      </c>
      <c r="B396" s="5" t="s">
        <v>2894</v>
      </c>
      <c r="C396" s="5" t="s">
        <v>2895</v>
      </c>
      <c r="D396" s="5" t="s">
        <v>2896</v>
      </c>
      <c r="E396" s="5" t="s">
        <v>347</v>
      </c>
      <c r="F396" s="5" t="s">
        <v>2897</v>
      </c>
      <c r="G396" s="5"/>
      <c r="H396" s="5" t="s">
        <v>349</v>
      </c>
      <c r="I396" s="5" t="s">
        <v>350</v>
      </c>
      <c r="J396" s="5" t="s">
        <v>351</v>
      </c>
      <c r="K396" s="5" t="s">
        <v>352</v>
      </c>
      <c r="L396" s="5" t="s">
        <v>353</v>
      </c>
      <c r="M396" s="5" t="s">
        <v>2898</v>
      </c>
    </row>
    <row r="397" spans="1:13" ht="57" customHeight="1" x14ac:dyDescent="0.2">
      <c r="A397" s="5" t="s">
        <v>2899</v>
      </c>
      <c r="B397" s="5" t="s">
        <v>356</v>
      </c>
      <c r="C397" s="5" t="s">
        <v>2900</v>
      </c>
      <c r="D397" s="5" t="s">
        <v>2901</v>
      </c>
      <c r="E397" s="5" t="s">
        <v>359</v>
      </c>
      <c r="F397" s="5" t="s">
        <v>2897</v>
      </c>
      <c r="G397" s="5" t="s">
        <v>2902</v>
      </c>
      <c r="H397" s="5" t="s">
        <v>2903</v>
      </c>
      <c r="I397" s="5" t="s">
        <v>362</v>
      </c>
      <c r="J397" s="5" t="s">
        <v>363</v>
      </c>
      <c r="K397" s="5" t="s">
        <v>364</v>
      </c>
      <c r="L397" s="5" t="s">
        <v>365</v>
      </c>
      <c r="M397" s="5" t="s">
        <v>366</v>
      </c>
    </row>
    <row r="398" spans="1:13" ht="57" customHeight="1" x14ac:dyDescent="0.2">
      <c r="A398" s="5" t="s">
        <v>2904</v>
      </c>
      <c r="B398" s="5" t="s">
        <v>368</v>
      </c>
      <c r="C398" s="5" t="s">
        <v>2905</v>
      </c>
      <c r="D398" s="5" t="s">
        <v>2906</v>
      </c>
      <c r="E398" s="5" t="s">
        <v>359</v>
      </c>
      <c r="F398" s="5" t="s">
        <v>2897</v>
      </c>
      <c r="G398" s="5" t="s">
        <v>2907</v>
      </c>
      <c r="H398" s="5" t="s">
        <v>2908</v>
      </c>
      <c r="I398" s="5" t="s">
        <v>362</v>
      </c>
      <c r="J398" s="5" t="s">
        <v>373</v>
      </c>
      <c r="K398" s="5" t="s">
        <v>364</v>
      </c>
      <c r="L398" s="5" t="s">
        <v>374</v>
      </c>
      <c r="M398" s="5" t="s">
        <v>366</v>
      </c>
    </row>
    <row r="399" spans="1:13" ht="57" customHeight="1" x14ac:dyDescent="0.2">
      <c r="A399" s="5" t="s">
        <v>2909</v>
      </c>
      <c r="B399" s="5" t="s">
        <v>376</v>
      </c>
      <c r="C399" s="5" t="s">
        <v>2910</v>
      </c>
      <c r="D399" s="5" t="s">
        <v>2911</v>
      </c>
      <c r="E399" s="5" t="s">
        <v>359</v>
      </c>
      <c r="F399" s="5" t="s">
        <v>2897</v>
      </c>
      <c r="G399" s="5" t="s">
        <v>2912</v>
      </c>
      <c r="H399" s="5" t="s">
        <v>2913</v>
      </c>
      <c r="I399" s="5" t="s">
        <v>362</v>
      </c>
      <c r="J399" s="5" t="s">
        <v>381</v>
      </c>
      <c r="K399" s="5" t="s">
        <v>382</v>
      </c>
      <c r="L399" s="5" t="s">
        <v>383</v>
      </c>
      <c r="M399" s="5" t="s">
        <v>366</v>
      </c>
    </row>
    <row r="400" spans="1:13" ht="72" customHeight="1" x14ac:dyDescent="0.2">
      <c r="A400" s="5" t="s">
        <v>2914</v>
      </c>
      <c r="B400" s="5" t="s">
        <v>500</v>
      </c>
      <c r="C400" s="5" t="s">
        <v>2915</v>
      </c>
      <c r="D400" s="5" t="s">
        <v>2916</v>
      </c>
      <c r="E400" s="5" t="s">
        <v>359</v>
      </c>
      <c r="F400" s="5" t="s">
        <v>2897</v>
      </c>
      <c r="G400" s="5" t="s">
        <v>2917</v>
      </c>
      <c r="H400" s="5" t="s">
        <v>2918</v>
      </c>
      <c r="I400" s="5" t="s">
        <v>362</v>
      </c>
      <c r="J400" s="5" t="s">
        <v>505</v>
      </c>
      <c r="K400" s="5" t="s">
        <v>392</v>
      </c>
      <c r="L400" s="5" t="s">
        <v>393</v>
      </c>
      <c r="M400" s="5" t="s">
        <v>506</v>
      </c>
    </row>
    <row r="401" spans="1:13" ht="57" customHeight="1" x14ac:dyDescent="0.2">
      <c r="A401" s="5" t="s">
        <v>2919</v>
      </c>
      <c r="B401" s="5" t="s">
        <v>595</v>
      </c>
      <c r="C401" s="5" t="s">
        <v>2920</v>
      </c>
      <c r="D401" s="5" t="s">
        <v>2921</v>
      </c>
      <c r="E401" s="5" t="s">
        <v>359</v>
      </c>
      <c r="F401" s="5" t="s">
        <v>2897</v>
      </c>
      <c r="G401" s="5" t="s">
        <v>2922</v>
      </c>
      <c r="H401" s="5" t="s">
        <v>2923</v>
      </c>
      <c r="I401" s="5" t="s">
        <v>362</v>
      </c>
      <c r="J401" s="5" t="s">
        <v>600</v>
      </c>
      <c r="K401" s="5" t="s">
        <v>392</v>
      </c>
      <c r="L401" s="5" t="s">
        <v>393</v>
      </c>
      <c r="M401" s="5" t="s">
        <v>601</v>
      </c>
    </row>
    <row r="402" spans="1:13" ht="57" customHeight="1" x14ac:dyDescent="0.2">
      <c r="A402" s="5" t="s">
        <v>2924</v>
      </c>
      <c r="B402" s="5" t="s">
        <v>2203</v>
      </c>
      <c r="C402" s="5" t="s">
        <v>2925</v>
      </c>
      <c r="D402" s="5" t="s">
        <v>2926</v>
      </c>
      <c r="E402" s="5" t="s">
        <v>359</v>
      </c>
      <c r="F402" s="5" t="s">
        <v>2897</v>
      </c>
      <c r="G402" s="5" t="s">
        <v>2927</v>
      </c>
      <c r="H402" s="5" t="s">
        <v>2928</v>
      </c>
      <c r="I402" s="5" t="s">
        <v>362</v>
      </c>
      <c r="J402" s="5" t="s">
        <v>2208</v>
      </c>
      <c r="K402" s="5" t="s">
        <v>392</v>
      </c>
      <c r="L402" s="5" t="s">
        <v>393</v>
      </c>
      <c r="M402" s="5" t="s">
        <v>2209</v>
      </c>
    </row>
    <row r="403" spans="1:13" ht="57" customHeight="1" x14ac:dyDescent="0.2">
      <c r="A403" s="5" t="s">
        <v>2929</v>
      </c>
      <c r="B403" s="5" t="s">
        <v>457</v>
      </c>
      <c r="C403" s="5" t="s">
        <v>2930</v>
      </c>
      <c r="D403" s="5" t="s">
        <v>2931</v>
      </c>
      <c r="E403" s="5" t="s">
        <v>359</v>
      </c>
      <c r="F403" s="5" t="s">
        <v>2897</v>
      </c>
      <c r="G403" s="5" t="s">
        <v>2932</v>
      </c>
      <c r="H403" s="5" t="s">
        <v>2933</v>
      </c>
      <c r="I403" s="5" t="s">
        <v>362</v>
      </c>
      <c r="J403" s="5" t="s">
        <v>462</v>
      </c>
      <c r="K403" s="5" t="s">
        <v>392</v>
      </c>
      <c r="L403" s="5" t="s">
        <v>393</v>
      </c>
      <c r="M403" s="5" t="s">
        <v>463</v>
      </c>
    </row>
    <row r="404" spans="1:13" ht="57" customHeight="1" x14ac:dyDescent="0.2">
      <c r="A404" s="5" t="s">
        <v>2934</v>
      </c>
      <c r="B404" s="5" t="s">
        <v>465</v>
      </c>
      <c r="C404" s="5" t="s">
        <v>2935</v>
      </c>
      <c r="D404" s="5" t="s">
        <v>2936</v>
      </c>
      <c r="E404" s="5" t="s">
        <v>359</v>
      </c>
      <c r="F404" s="5" t="s">
        <v>2897</v>
      </c>
      <c r="G404" s="5" t="s">
        <v>2937</v>
      </c>
      <c r="H404" s="5" t="s">
        <v>2938</v>
      </c>
      <c r="I404" s="5" t="s">
        <v>362</v>
      </c>
      <c r="J404" s="5" t="s">
        <v>470</v>
      </c>
      <c r="K404" s="5" t="s">
        <v>392</v>
      </c>
      <c r="L404" s="5" t="s">
        <v>393</v>
      </c>
      <c r="M404" s="5" t="s">
        <v>471</v>
      </c>
    </row>
    <row r="405" spans="1:13" ht="87" customHeight="1" x14ac:dyDescent="0.2">
      <c r="A405" s="5" t="s">
        <v>2939</v>
      </c>
      <c r="B405" s="5" t="s">
        <v>2940</v>
      </c>
      <c r="C405" s="5" t="s">
        <v>2941</v>
      </c>
      <c r="D405" s="5" t="s">
        <v>2942</v>
      </c>
      <c r="E405" s="5" t="s">
        <v>359</v>
      </c>
      <c r="F405" s="5" t="s">
        <v>2897</v>
      </c>
      <c r="G405" s="5" t="s">
        <v>2943</v>
      </c>
      <c r="H405" s="5" t="s">
        <v>2944</v>
      </c>
      <c r="I405" s="5" t="s">
        <v>362</v>
      </c>
      <c r="J405" s="5" t="s">
        <v>2945</v>
      </c>
      <c r="K405" s="5" t="s">
        <v>364</v>
      </c>
      <c r="L405" s="5" t="s">
        <v>2946</v>
      </c>
      <c r="M405" s="5" t="s">
        <v>366</v>
      </c>
    </row>
    <row r="406" spans="1:13" ht="102" customHeight="1" x14ac:dyDescent="0.2">
      <c r="A406" s="5" t="s">
        <v>2947</v>
      </c>
      <c r="B406" s="5" t="s">
        <v>2948</v>
      </c>
      <c r="C406" s="5" t="s">
        <v>2949</v>
      </c>
      <c r="D406" s="5" t="s">
        <v>2950</v>
      </c>
      <c r="E406" s="5" t="s">
        <v>359</v>
      </c>
      <c r="F406" s="5" t="s">
        <v>2897</v>
      </c>
      <c r="G406" s="5" t="s">
        <v>2951</v>
      </c>
      <c r="H406" s="5" t="s">
        <v>2952</v>
      </c>
      <c r="I406" s="5" t="s">
        <v>362</v>
      </c>
      <c r="J406" s="5" t="s">
        <v>2953</v>
      </c>
      <c r="K406" s="5" t="s">
        <v>364</v>
      </c>
      <c r="L406" s="5" t="s">
        <v>2954</v>
      </c>
      <c r="M406" s="5" t="s">
        <v>366</v>
      </c>
    </row>
    <row r="407" spans="1:13" ht="87" customHeight="1" x14ac:dyDescent="0.2">
      <c r="A407" s="5" t="s">
        <v>2955</v>
      </c>
      <c r="B407" s="5" t="s">
        <v>2956</v>
      </c>
      <c r="C407" s="5" t="s">
        <v>2957</v>
      </c>
      <c r="D407" s="5" t="s">
        <v>2958</v>
      </c>
      <c r="E407" s="5" t="s">
        <v>359</v>
      </c>
      <c r="F407" s="5" t="s">
        <v>2897</v>
      </c>
      <c r="G407" s="5" t="s">
        <v>2959</v>
      </c>
      <c r="H407" s="5" t="s">
        <v>2960</v>
      </c>
      <c r="I407" s="5" t="s">
        <v>362</v>
      </c>
      <c r="J407" s="5" t="s">
        <v>2961</v>
      </c>
      <c r="K407" s="5" t="s">
        <v>571</v>
      </c>
      <c r="L407" s="5" t="s">
        <v>572</v>
      </c>
      <c r="M407" s="5" t="s">
        <v>506</v>
      </c>
    </row>
    <row r="408" spans="1:13" ht="72" customHeight="1" x14ac:dyDescent="0.2">
      <c r="A408" s="5" t="s">
        <v>2962</v>
      </c>
      <c r="B408" s="5" t="s">
        <v>2963</v>
      </c>
      <c r="C408" s="5" t="s">
        <v>2964</v>
      </c>
      <c r="D408" s="5" t="s">
        <v>2965</v>
      </c>
      <c r="E408" s="5" t="s">
        <v>359</v>
      </c>
      <c r="F408" s="5" t="s">
        <v>2897</v>
      </c>
      <c r="G408" s="5" t="s">
        <v>2966</v>
      </c>
      <c r="H408" s="5" t="s">
        <v>2967</v>
      </c>
      <c r="I408" s="5" t="s">
        <v>362</v>
      </c>
      <c r="J408" s="5" t="s">
        <v>2968</v>
      </c>
      <c r="K408" s="5" t="s">
        <v>402</v>
      </c>
      <c r="L408" s="5" t="s">
        <v>2884</v>
      </c>
      <c r="M408" s="5" t="s">
        <v>366</v>
      </c>
    </row>
    <row r="409" spans="1:13" ht="57" customHeight="1" x14ac:dyDescent="0.2">
      <c r="A409" s="5" t="s">
        <v>2969</v>
      </c>
      <c r="B409" s="5" t="s">
        <v>1308</v>
      </c>
      <c r="C409" s="5" t="s">
        <v>2970</v>
      </c>
      <c r="D409" s="5" t="s">
        <v>2971</v>
      </c>
      <c r="E409" s="5" t="s">
        <v>359</v>
      </c>
      <c r="F409" s="5" t="s">
        <v>2897</v>
      </c>
      <c r="G409" s="5" t="s">
        <v>2972</v>
      </c>
      <c r="H409" s="5" t="s">
        <v>2973</v>
      </c>
      <c r="I409" s="5" t="s">
        <v>390</v>
      </c>
      <c r="J409" s="5" t="s">
        <v>1313</v>
      </c>
      <c r="K409" s="5" t="s">
        <v>571</v>
      </c>
      <c r="L409" s="5" t="s">
        <v>572</v>
      </c>
      <c r="M409" s="5" t="s">
        <v>426</v>
      </c>
    </row>
    <row r="410" spans="1:13" ht="87" customHeight="1" x14ac:dyDescent="0.2">
      <c r="A410" s="5" t="s">
        <v>2974</v>
      </c>
      <c r="B410" s="5" t="s">
        <v>2975</v>
      </c>
      <c r="C410" s="5" t="s">
        <v>2976</v>
      </c>
      <c r="D410" s="5" t="s">
        <v>2977</v>
      </c>
      <c r="E410" s="5" t="s">
        <v>359</v>
      </c>
      <c r="F410" s="5" t="s">
        <v>2897</v>
      </c>
      <c r="G410" s="5" t="s">
        <v>2978</v>
      </c>
      <c r="H410" s="5" t="s">
        <v>2979</v>
      </c>
      <c r="I410" s="5" t="s">
        <v>390</v>
      </c>
      <c r="J410" s="5" t="s">
        <v>2980</v>
      </c>
      <c r="K410" s="5" t="s">
        <v>364</v>
      </c>
      <c r="L410" s="5" t="s">
        <v>2981</v>
      </c>
      <c r="M410" s="5" t="s">
        <v>366</v>
      </c>
    </row>
    <row r="411" spans="1:13" ht="87" customHeight="1" x14ac:dyDescent="0.2">
      <c r="A411" s="5" t="s">
        <v>2982</v>
      </c>
      <c r="B411" s="5" t="s">
        <v>2983</v>
      </c>
      <c r="C411" s="5" t="s">
        <v>2984</v>
      </c>
      <c r="D411" s="5" t="s">
        <v>2985</v>
      </c>
      <c r="E411" s="5" t="s">
        <v>347</v>
      </c>
      <c r="F411" s="5" t="s">
        <v>2986</v>
      </c>
      <c r="G411" s="5"/>
      <c r="H411" s="5" t="s">
        <v>349</v>
      </c>
      <c r="I411" s="5" t="s">
        <v>350</v>
      </c>
      <c r="J411" s="5" t="s">
        <v>351</v>
      </c>
      <c r="K411" s="5" t="s">
        <v>352</v>
      </c>
      <c r="L411" s="5" t="s">
        <v>353</v>
      </c>
      <c r="M411" s="5" t="s">
        <v>2987</v>
      </c>
    </row>
    <row r="412" spans="1:13" ht="57" customHeight="1" x14ac:dyDescent="0.2">
      <c r="A412" s="5" t="s">
        <v>2988</v>
      </c>
      <c r="B412" s="5" t="s">
        <v>356</v>
      </c>
      <c r="C412" s="5" t="s">
        <v>2989</v>
      </c>
      <c r="D412" s="5" t="s">
        <v>2990</v>
      </c>
      <c r="E412" s="5" t="s">
        <v>359</v>
      </c>
      <c r="F412" s="5" t="s">
        <v>2986</v>
      </c>
      <c r="G412" s="5" t="s">
        <v>2991</v>
      </c>
      <c r="H412" s="5" t="s">
        <v>2992</v>
      </c>
      <c r="I412" s="5" t="s">
        <v>362</v>
      </c>
      <c r="J412" s="5" t="s">
        <v>363</v>
      </c>
      <c r="K412" s="5" t="s">
        <v>364</v>
      </c>
      <c r="L412" s="5" t="s">
        <v>365</v>
      </c>
      <c r="M412" s="5" t="s">
        <v>366</v>
      </c>
    </row>
    <row r="413" spans="1:13" ht="57" customHeight="1" x14ac:dyDescent="0.2">
      <c r="A413" s="5" t="s">
        <v>2993</v>
      </c>
      <c r="B413" s="5" t="s">
        <v>368</v>
      </c>
      <c r="C413" s="5" t="s">
        <v>2994</v>
      </c>
      <c r="D413" s="5" t="s">
        <v>2995</v>
      </c>
      <c r="E413" s="5" t="s">
        <v>359</v>
      </c>
      <c r="F413" s="5" t="s">
        <v>2986</v>
      </c>
      <c r="G413" s="5" t="s">
        <v>2996</v>
      </c>
      <c r="H413" s="5" t="s">
        <v>2997</v>
      </c>
      <c r="I413" s="5" t="s">
        <v>362</v>
      </c>
      <c r="J413" s="5" t="s">
        <v>373</v>
      </c>
      <c r="K413" s="5" t="s">
        <v>364</v>
      </c>
      <c r="L413" s="5" t="s">
        <v>374</v>
      </c>
      <c r="M413" s="5" t="s">
        <v>366</v>
      </c>
    </row>
    <row r="414" spans="1:13" ht="57" customHeight="1" x14ac:dyDescent="0.2">
      <c r="A414" s="5" t="s">
        <v>2998</v>
      </c>
      <c r="B414" s="5" t="s">
        <v>376</v>
      </c>
      <c r="C414" s="5" t="s">
        <v>2999</v>
      </c>
      <c r="D414" s="5" t="s">
        <v>3000</v>
      </c>
      <c r="E414" s="5" t="s">
        <v>359</v>
      </c>
      <c r="F414" s="5" t="s">
        <v>2986</v>
      </c>
      <c r="G414" s="5" t="s">
        <v>3001</v>
      </c>
      <c r="H414" s="5" t="s">
        <v>3002</v>
      </c>
      <c r="I414" s="5" t="s">
        <v>362</v>
      </c>
      <c r="J414" s="5" t="s">
        <v>381</v>
      </c>
      <c r="K414" s="5" t="s">
        <v>382</v>
      </c>
      <c r="L414" s="5" t="s">
        <v>383</v>
      </c>
      <c r="M414" s="5" t="s">
        <v>366</v>
      </c>
    </row>
    <row r="415" spans="1:13" ht="57" customHeight="1" x14ac:dyDescent="0.2">
      <c r="A415" s="5" t="s">
        <v>3003</v>
      </c>
      <c r="B415" s="5" t="s">
        <v>595</v>
      </c>
      <c r="C415" s="5" t="s">
        <v>3004</v>
      </c>
      <c r="D415" s="5" t="s">
        <v>3005</v>
      </c>
      <c r="E415" s="5" t="s">
        <v>359</v>
      </c>
      <c r="F415" s="5" t="s">
        <v>2986</v>
      </c>
      <c r="G415" s="5" t="s">
        <v>3006</v>
      </c>
      <c r="H415" s="5" t="s">
        <v>3007</v>
      </c>
      <c r="I415" s="5" t="s">
        <v>362</v>
      </c>
      <c r="J415" s="5" t="s">
        <v>600</v>
      </c>
      <c r="K415" s="5" t="s">
        <v>392</v>
      </c>
      <c r="L415" s="5" t="s">
        <v>393</v>
      </c>
      <c r="M415" s="5" t="s">
        <v>601</v>
      </c>
    </row>
    <row r="416" spans="1:13" ht="57" customHeight="1" x14ac:dyDescent="0.2">
      <c r="A416" s="5" t="s">
        <v>3008</v>
      </c>
      <c r="B416" s="5" t="s">
        <v>420</v>
      </c>
      <c r="C416" s="5" t="s">
        <v>3009</v>
      </c>
      <c r="D416" s="5" t="s">
        <v>3010</v>
      </c>
      <c r="E416" s="5" t="s">
        <v>359</v>
      </c>
      <c r="F416" s="5" t="s">
        <v>2986</v>
      </c>
      <c r="G416" s="5" t="s">
        <v>3011</v>
      </c>
      <c r="H416" s="5" t="s">
        <v>3012</v>
      </c>
      <c r="I416" s="5" t="s">
        <v>362</v>
      </c>
      <c r="J416" s="5" t="s">
        <v>425</v>
      </c>
      <c r="K416" s="5" t="s">
        <v>392</v>
      </c>
      <c r="L416" s="5" t="s">
        <v>393</v>
      </c>
      <c r="M416" s="5" t="s">
        <v>426</v>
      </c>
    </row>
    <row r="417" spans="1:13" ht="72" customHeight="1" x14ac:dyDescent="0.2">
      <c r="A417" s="5" t="s">
        <v>3013</v>
      </c>
      <c r="B417" s="5" t="s">
        <v>3014</v>
      </c>
      <c r="C417" s="5" t="s">
        <v>3015</v>
      </c>
      <c r="D417" s="5" t="s">
        <v>3016</v>
      </c>
      <c r="E417" s="5" t="s">
        <v>359</v>
      </c>
      <c r="F417" s="5" t="s">
        <v>2986</v>
      </c>
      <c r="G417" s="5" t="s">
        <v>3017</v>
      </c>
      <c r="H417" s="5" t="s">
        <v>3018</v>
      </c>
      <c r="I417" s="5" t="s">
        <v>362</v>
      </c>
      <c r="J417" s="5" t="s">
        <v>3019</v>
      </c>
      <c r="K417" s="5" t="s">
        <v>402</v>
      </c>
      <c r="L417" s="5" t="s">
        <v>3020</v>
      </c>
      <c r="M417" s="5" t="s">
        <v>366</v>
      </c>
    </row>
    <row r="418" spans="1:13" ht="72" customHeight="1" x14ac:dyDescent="0.2">
      <c r="A418" s="5" t="s">
        <v>3021</v>
      </c>
      <c r="B418" s="5" t="s">
        <v>3022</v>
      </c>
      <c r="C418" s="5" t="s">
        <v>3023</v>
      </c>
      <c r="D418" s="5" t="s">
        <v>3024</v>
      </c>
      <c r="E418" s="5" t="s">
        <v>359</v>
      </c>
      <c r="F418" s="5" t="s">
        <v>2986</v>
      </c>
      <c r="G418" s="5" t="s">
        <v>3025</v>
      </c>
      <c r="H418" s="5" t="s">
        <v>3026</v>
      </c>
      <c r="I418" s="5" t="s">
        <v>362</v>
      </c>
      <c r="J418" s="5" t="s">
        <v>3027</v>
      </c>
      <c r="K418" s="5" t="s">
        <v>364</v>
      </c>
      <c r="L418" s="5" t="s">
        <v>3028</v>
      </c>
      <c r="M418" s="5" t="s">
        <v>366</v>
      </c>
    </row>
    <row r="419" spans="1:13" ht="72" customHeight="1" x14ac:dyDescent="0.2">
      <c r="A419" s="5" t="s">
        <v>3029</v>
      </c>
      <c r="B419" s="5" t="s">
        <v>3030</v>
      </c>
      <c r="C419" s="5" t="s">
        <v>3031</v>
      </c>
      <c r="D419" s="5" t="s">
        <v>3032</v>
      </c>
      <c r="E419" s="5" t="s">
        <v>359</v>
      </c>
      <c r="F419" s="5" t="s">
        <v>2986</v>
      </c>
      <c r="G419" s="5" t="s">
        <v>3033</v>
      </c>
      <c r="H419" s="5" t="s">
        <v>3034</v>
      </c>
      <c r="I419" s="5" t="s">
        <v>390</v>
      </c>
      <c r="J419" s="5" t="s">
        <v>3035</v>
      </c>
      <c r="K419" s="5" t="s">
        <v>364</v>
      </c>
      <c r="L419" s="5" t="s">
        <v>3036</v>
      </c>
      <c r="M419" s="5" t="s">
        <v>366</v>
      </c>
    </row>
    <row r="420" spans="1:13" ht="87" customHeight="1" x14ac:dyDescent="0.2">
      <c r="A420" s="5" t="s">
        <v>3037</v>
      </c>
      <c r="B420" s="5" t="s">
        <v>3038</v>
      </c>
      <c r="C420" s="5" t="s">
        <v>3039</v>
      </c>
      <c r="D420" s="5" t="s">
        <v>3040</v>
      </c>
      <c r="E420" s="5" t="s">
        <v>359</v>
      </c>
      <c r="F420" s="5" t="s">
        <v>2986</v>
      </c>
      <c r="G420" s="5" t="s">
        <v>3041</v>
      </c>
      <c r="H420" s="5" t="s">
        <v>3042</v>
      </c>
      <c r="I420" s="5" t="s">
        <v>390</v>
      </c>
      <c r="J420" s="5" t="s">
        <v>3043</v>
      </c>
      <c r="K420" s="5" t="s">
        <v>364</v>
      </c>
      <c r="L420" s="5" t="s">
        <v>3044</v>
      </c>
      <c r="M420" s="5" t="s">
        <v>366</v>
      </c>
    </row>
    <row r="421" spans="1:13" ht="57" customHeight="1" x14ac:dyDescent="0.2">
      <c r="A421" s="5" t="s">
        <v>3045</v>
      </c>
      <c r="B421" s="5" t="s">
        <v>3046</v>
      </c>
      <c r="C421" s="5" t="s">
        <v>3047</v>
      </c>
      <c r="D421" s="5" t="s">
        <v>3048</v>
      </c>
      <c r="E421" s="5" t="s">
        <v>359</v>
      </c>
      <c r="F421" s="5" t="s">
        <v>2986</v>
      </c>
      <c r="G421" s="5" t="s">
        <v>3049</v>
      </c>
      <c r="H421" s="5" t="s">
        <v>3050</v>
      </c>
      <c r="I421" s="5" t="s">
        <v>390</v>
      </c>
      <c r="J421" s="5" t="s">
        <v>3051</v>
      </c>
      <c r="K421" s="5" t="s">
        <v>392</v>
      </c>
      <c r="L421" s="5" t="s">
        <v>393</v>
      </c>
      <c r="M421" s="5" t="s">
        <v>3052</v>
      </c>
    </row>
    <row r="422" spans="1:13" ht="50.1" customHeight="1" x14ac:dyDescent="0.2">
      <c r="A422" s="5" t="s">
        <v>3053</v>
      </c>
      <c r="B422" s="5" t="s">
        <v>3054</v>
      </c>
      <c r="C422" s="5" t="s">
        <v>3055</v>
      </c>
      <c r="D422" s="5" t="s">
        <v>3056</v>
      </c>
      <c r="E422" s="5" t="s">
        <v>3057</v>
      </c>
      <c r="F422" s="5"/>
      <c r="G422" s="5"/>
      <c r="H422" s="5" t="s">
        <v>3058</v>
      </c>
      <c r="I422" s="5" t="s">
        <v>3059</v>
      </c>
      <c r="J422" s="5" t="s">
        <v>3054</v>
      </c>
      <c r="K422" s="5" t="s">
        <v>3060</v>
      </c>
      <c r="L422" s="5" t="s">
        <v>3061</v>
      </c>
      <c r="M422" s="5" t="s">
        <v>3062</v>
      </c>
    </row>
    <row r="423" spans="1:13" ht="50.1" customHeight="1" x14ac:dyDescent="0.2">
      <c r="A423" s="5" t="s">
        <v>3063</v>
      </c>
      <c r="B423" s="5" t="s">
        <v>3064</v>
      </c>
      <c r="C423" s="5" t="s">
        <v>3065</v>
      </c>
      <c r="D423" s="5" t="s">
        <v>3066</v>
      </c>
      <c r="E423" s="5" t="s">
        <v>3057</v>
      </c>
      <c r="F423" s="5"/>
      <c r="G423" s="5"/>
      <c r="H423" s="5" t="s">
        <v>3058</v>
      </c>
      <c r="I423" s="5" t="s">
        <v>3059</v>
      </c>
      <c r="J423" s="5" t="s">
        <v>3064</v>
      </c>
      <c r="K423" s="5" t="s">
        <v>3067</v>
      </c>
      <c r="L423" s="5" t="s">
        <v>3061</v>
      </c>
      <c r="M423" s="5" t="s">
        <v>3062</v>
      </c>
    </row>
    <row r="424" spans="1:13" ht="50.1" customHeight="1" x14ac:dyDescent="0.2">
      <c r="A424" s="5" t="s">
        <v>3068</v>
      </c>
      <c r="B424" s="5" t="s">
        <v>3069</v>
      </c>
      <c r="C424" s="5" t="s">
        <v>3070</v>
      </c>
      <c r="D424" s="5" t="s">
        <v>3071</v>
      </c>
      <c r="E424" s="5" t="s">
        <v>3057</v>
      </c>
      <c r="F424" s="5"/>
      <c r="G424" s="5"/>
      <c r="H424" s="5" t="s">
        <v>3058</v>
      </c>
      <c r="I424" s="5" t="s">
        <v>3059</v>
      </c>
      <c r="J424" s="5" t="s">
        <v>3069</v>
      </c>
      <c r="K424" s="5" t="s">
        <v>3072</v>
      </c>
      <c r="L424" s="5" t="s">
        <v>3061</v>
      </c>
      <c r="M424" s="5" t="s">
        <v>3062</v>
      </c>
    </row>
    <row r="425" spans="1:13" ht="50.1" customHeight="1" x14ac:dyDescent="0.2">
      <c r="A425" s="5" t="s">
        <v>3073</v>
      </c>
      <c r="B425" s="5" t="s">
        <v>3074</v>
      </c>
      <c r="C425" s="5" t="s">
        <v>3075</v>
      </c>
      <c r="D425" s="5" t="s">
        <v>3076</v>
      </c>
      <c r="E425" s="5" t="s">
        <v>3057</v>
      </c>
      <c r="F425" s="5"/>
      <c r="G425" s="5"/>
      <c r="H425" s="5" t="s">
        <v>3058</v>
      </c>
      <c r="I425" s="5" t="s">
        <v>3059</v>
      </c>
      <c r="J425" s="5" t="s">
        <v>3074</v>
      </c>
      <c r="K425" s="5" t="s">
        <v>3077</v>
      </c>
      <c r="L425" s="5" t="s">
        <v>3061</v>
      </c>
      <c r="M425" s="5" t="s">
        <v>3062</v>
      </c>
    </row>
    <row r="426" spans="1:13" ht="57" customHeight="1" x14ac:dyDescent="0.2">
      <c r="A426" s="5" t="s">
        <v>3078</v>
      </c>
      <c r="B426" s="5" t="s">
        <v>3079</v>
      </c>
      <c r="C426" s="5" t="s">
        <v>3080</v>
      </c>
      <c r="D426" s="5" t="s">
        <v>3081</v>
      </c>
      <c r="E426" s="5" t="s">
        <v>3057</v>
      </c>
      <c r="F426" s="5"/>
      <c r="G426" s="5"/>
      <c r="H426" s="5" t="s">
        <v>3058</v>
      </c>
      <c r="I426" s="5" t="s">
        <v>3059</v>
      </c>
      <c r="J426" s="5" t="s">
        <v>3079</v>
      </c>
      <c r="K426" s="5" t="s">
        <v>3082</v>
      </c>
      <c r="L426" s="5" t="s">
        <v>3061</v>
      </c>
      <c r="M426" s="5" t="s">
        <v>3062</v>
      </c>
    </row>
  </sheetData>
  <dataValidations count="4">
    <dataValidation type="list" sqref="D7:D1200" xr:uid="{00000000-0002-0000-0600-000000000000}">
      <formula1>og_list_8</formula1>
    </dataValidation>
    <dataValidation type="list" sqref="E7:E1200" xr:uid="{00000000-0002-0000-0600-000001000000}">
      <formula1>"TABLE,FIELD,OPERATION"</formula1>
    </dataValidation>
    <dataValidation type="list" sqref="F7:F1200" xr:uid="{00000000-0002-0000-0600-000002000000}">
      <formula1>og_list_11</formula1>
    </dataValidation>
    <dataValidation type="list" sqref="G7:G1200" xr:uid="{00000000-0002-0000-0600-000003000000}">
      <formula1>og_list_12</formula1>
    </dataValidation>
  </dataValidations>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67E8F9"/>
  </sheetPr>
  <dimension ref="A1:M650"/>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4" width="29.0546875" customWidth="1"/>
    <col min="5" max="5" width="18.0234375" customWidth="1"/>
    <col min="6" max="10" width="29.0546875" customWidth="1"/>
    <col min="11" max="11" width="48.0234375" customWidth="1"/>
    <col min="12" max="13" width="29.0546875" customWidth="1"/>
  </cols>
  <sheetData>
    <row r="1" spans="1:13" ht="21.75" x14ac:dyDescent="0.25">
      <c r="A1" s="3" t="s">
        <v>3083</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764</v>
      </c>
      <c r="B3" s="2"/>
      <c r="C3" s="2"/>
      <c r="D3" s="2"/>
      <c r="E3" s="2"/>
      <c r="F3" s="2"/>
      <c r="G3" s="2"/>
      <c r="H3" s="2"/>
      <c r="I3" s="2"/>
      <c r="J3" s="2"/>
      <c r="K3" s="2"/>
      <c r="L3" s="2"/>
      <c r="M3" s="2"/>
    </row>
    <row r="4" spans="1:13" ht="16.5" x14ac:dyDescent="0.2">
      <c r="A4" s="4" t="str">
        <f>HYPERLINK("#'Field Dictionary'!A60","🧩🔢 - 1 - SHORT TEXT")</f>
        <v>🧩🔢 - 1 - SHORT TEXT</v>
      </c>
      <c r="B4" s="4" t="str">
        <f>HYPERLINK("#'Field Dictionary'!A61","🧩🔢 - 2 - LONG TEXT")</f>
        <v>🧩🔢 - 2 - LONG TEXT</v>
      </c>
      <c r="C4" s="4" t="str">
        <f>HYPERLINK("#'Field Dictionary'!A62","🧩🔢 - 3 - SHORT TEXT")</f>
        <v>🧩🔢 - 3 - SHORT TEXT</v>
      </c>
      <c r="D4" s="4" t="str">
        <f>HYPERLINK("#'Field Dictionary'!A63","🧩🔢 - 4 - SHORT TEXT")</f>
        <v>🧩🔢 - 4 - SHORT TEXT</v>
      </c>
      <c r="E4" s="4" t="str">
        <f>HYPERLINK("#'Field Dictionary'!A64","🧩🔢 - 5 - INTEGER")</f>
        <v>🧩🔢 - 5 - INTEGER</v>
      </c>
      <c r="F4" s="4" t="str">
        <f>HYPERLINK("#'Field Dictionary'!A65","🧩🔢 - 6 - LINKED RECORD")</f>
        <v>🧩🔢 - 6 - LINKED RECORD</v>
      </c>
      <c r="G4" s="4" t="str">
        <f>HYPERLINK("#'Field Dictionary'!A66","🧩🔢 - 7 - LINKED RECORD")</f>
        <v>🧩🔢 - 7 - LINKED RECORD</v>
      </c>
      <c r="H4" s="4" t="str">
        <f>HYPERLINK("#'Field Dictionary'!A67","🧩🔢 - 8 - SHORT TEXT")</f>
        <v>🧩🔢 - 8 - SHORT TEXT</v>
      </c>
      <c r="I4" s="4" t="str">
        <f>HYPERLINK("#'Field Dictionary'!A68","🧩🔢 - 9 - LINKED RECORD")</f>
        <v>🧩🔢 - 9 - LINKED RECORD</v>
      </c>
      <c r="J4" s="4" t="str">
        <f>HYPERLINK("#'Field Dictionary'!A69","🧩🔢 - 10 - LINKED RECORD")</f>
        <v>🧩🔢 - 10 - LINKED RECORD</v>
      </c>
      <c r="K4" s="4" t="str">
        <f>HYPERLINK("#'Field Dictionary'!A70","🧩🔢 - 11 - LONG TEXT")</f>
        <v>🧩🔢 - 11 - LONG TEXT</v>
      </c>
      <c r="L4" s="4" t="str">
        <f>HYPERLINK("#'Field Dictionary'!A71","🧩🔢 - 12 - SINGLE SELECT")</f>
        <v>🧩🔢 - 12 - SINGLE SELECT</v>
      </c>
      <c r="M4" s="4" t="str">
        <f>HYPERLINK("#'Field Dictionary'!A72","🧩🔢 - 13 - SINGLE SELECT")</f>
        <v>🧩🔢 - 13 - SINGLE SELECT</v>
      </c>
    </row>
    <row r="5" spans="1:13" ht="38.1" customHeight="1" x14ac:dyDescent="0.2">
      <c r="A5" s="7" t="s">
        <v>100</v>
      </c>
      <c r="B5" s="7" t="s">
        <v>101</v>
      </c>
      <c r="C5" s="7" t="s">
        <v>102</v>
      </c>
      <c r="D5" s="7" t="s">
        <v>3084</v>
      </c>
      <c r="E5" s="7" t="s">
        <v>3085</v>
      </c>
      <c r="F5" s="7" t="s">
        <v>3086</v>
      </c>
      <c r="G5" s="7" t="s">
        <v>3087</v>
      </c>
      <c r="H5" s="7" t="s">
        <v>3088</v>
      </c>
      <c r="I5" s="7" t="s">
        <v>3089</v>
      </c>
      <c r="J5" s="7" t="s">
        <v>3090</v>
      </c>
      <c r="K5" s="7" t="s">
        <v>3091</v>
      </c>
      <c r="L5" s="7" t="s">
        <v>3092</v>
      </c>
      <c r="M5" s="7" t="s">
        <v>3093</v>
      </c>
    </row>
    <row r="6" spans="1:13" ht="38.1" customHeight="1" x14ac:dyDescent="0.2">
      <c r="A6" s="7" t="s">
        <v>115</v>
      </c>
      <c r="B6" s="7" t="s">
        <v>116</v>
      </c>
      <c r="C6" s="7" t="s">
        <v>117</v>
      </c>
      <c r="D6" s="7" t="s">
        <v>3094</v>
      </c>
      <c r="E6" s="7" t="s">
        <v>3095</v>
      </c>
      <c r="F6" s="7" t="s">
        <v>3096</v>
      </c>
      <c r="G6" s="7" t="s">
        <v>3097</v>
      </c>
      <c r="H6" s="7" t="s">
        <v>3098</v>
      </c>
      <c r="I6" s="7" t="s">
        <v>3099</v>
      </c>
      <c r="J6" s="7" t="s">
        <v>3100</v>
      </c>
      <c r="K6" s="7" t="s">
        <v>3101</v>
      </c>
      <c r="L6" s="7" t="s">
        <v>3102</v>
      </c>
      <c r="M6" s="7" t="s">
        <v>3103</v>
      </c>
    </row>
    <row r="7" spans="1:13" ht="50.1" customHeight="1" x14ac:dyDescent="0.2">
      <c r="A7" s="5" t="s">
        <v>344</v>
      </c>
      <c r="B7" s="5" t="s">
        <v>99</v>
      </c>
      <c r="C7" s="5" t="s">
        <v>346</v>
      </c>
      <c r="D7" s="5" t="s">
        <v>3104</v>
      </c>
      <c r="E7" s="8">
        <v>1</v>
      </c>
      <c r="F7" s="5" t="s">
        <v>132</v>
      </c>
      <c r="G7" s="5" t="s">
        <v>668</v>
      </c>
      <c r="H7" s="5" t="s">
        <v>345</v>
      </c>
      <c r="I7" s="5"/>
      <c r="J7" s="5"/>
      <c r="K7" s="5" t="s">
        <v>3105</v>
      </c>
      <c r="L7" s="5" t="s">
        <v>276</v>
      </c>
      <c r="M7" s="5" t="s">
        <v>851</v>
      </c>
    </row>
    <row r="8" spans="1:13" ht="50.1" customHeight="1" x14ac:dyDescent="0.2">
      <c r="A8" s="5" t="s">
        <v>355</v>
      </c>
      <c r="B8" s="5" t="s">
        <v>356</v>
      </c>
      <c r="C8" s="5" t="s">
        <v>358</v>
      </c>
      <c r="D8" s="5" t="s">
        <v>3106</v>
      </c>
      <c r="E8" s="8">
        <v>1</v>
      </c>
      <c r="F8" s="5" t="s">
        <v>132</v>
      </c>
      <c r="G8" s="5" t="s">
        <v>668</v>
      </c>
      <c r="H8" s="5" t="s">
        <v>357</v>
      </c>
      <c r="I8" s="5"/>
      <c r="J8" s="5"/>
      <c r="K8" s="5" t="s">
        <v>3105</v>
      </c>
      <c r="L8" s="5" t="s">
        <v>276</v>
      </c>
      <c r="M8" s="5" t="s">
        <v>851</v>
      </c>
    </row>
    <row r="9" spans="1:13" ht="50.1" customHeight="1" x14ac:dyDescent="0.2">
      <c r="A9" s="5" t="s">
        <v>367</v>
      </c>
      <c r="B9" s="5" t="s">
        <v>368</v>
      </c>
      <c r="C9" s="5" t="s">
        <v>370</v>
      </c>
      <c r="D9" s="5" t="s">
        <v>3107</v>
      </c>
      <c r="E9" s="8">
        <v>1</v>
      </c>
      <c r="F9" s="5" t="s">
        <v>132</v>
      </c>
      <c r="G9" s="5" t="s">
        <v>668</v>
      </c>
      <c r="H9" s="5" t="s">
        <v>369</v>
      </c>
      <c r="I9" s="5"/>
      <c r="J9" s="5"/>
      <c r="K9" s="5" t="s">
        <v>3105</v>
      </c>
      <c r="L9" s="5" t="s">
        <v>276</v>
      </c>
      <c r="M9" s="5" t="s">
        <v>851</v>
      </c>
    </row>
    <row r="10" spans="1:13" ht="50.1" customHeight="1" x14ac:dyDescent="0.2">
      <c r="A10" s="5" t="s">
        <v>375</v>
      </c>
      <c r="B10" s="5" t="s">
        <v>376</v>
      </c>
      <c r="C10" s="5" t="s">
        <v>378</v>
      </c>
      <c r="D10" s="5" t="s">
        <v>3108</v>
      </c>
      <c r="E10" s="8">
        <v>1</v>
      </c>
      <c r="F10" s="5" t="s">
        <v>132</v>
      </c>
      <c r="G10" s="5" t="s">
        <v>668</v>
      </c>
      <c r="H10" s="5" t="s">
        <v>377</v>
      </c>
      <c r="I10" s="5"/>
      <c r="J10" s="5"/>
      <c r="K10" s="5" t="s">
        <v>3105</v>
      </c>
      <c r="L10" s="5" t="s">
        <v>276</v>
      </c>
      <c r="M10" s="5" t="s">
        <v>851</v>
      </c>
    </row>
    <row r="11" spans="1:13" ht="50.1" customHeight="1" x14ac:dyDescent="0.2">
      <c r="A11" s="5" t="s">
        <v>384</v>
      </c>
      <c r="B11" s="5" t="s">
        <v>385</v>
      </c>
      <c r="C11" s="5" t="s">
        <v>387</v>
      </c>
      <c r="D11" s="5" t="s">
        <v>3109</v>
      </c>
      <c r="E11" s="8">
        <v>1</v>
      </c>
      <c r="F11" s="5" t="s">
        <v>132</v>
      </c>
      <c r="G11" s="5" t="s">
        <v>668</v>
      </c>
      <c r="H11" s="5" t="s">
        <v>386</v>
      </c>
      <c r="I11" s="5"/>
      <c r="J11" s="5"/>
      <c r="K11" s="5" t="s">
        <v>3105</v>
      </c>
      <c r="L11" s="5" t="s">
        <v>276</v>
      </c>
      <c r="M11" s="5" t="s">
        <v>851</v>
      </c>
    </row>
    <row r="12" spans="1:13" ht="50.1" customHeight="1" x14ac:dyDescent="0.2">
      <c r="A12" s="5" t="s">
        <v>395</v>
      </c>
      <c r="B12" s="5" t="s">
        <v>396</v>
      </c>
      <c r="C12" s="5" t="s">
        <v>398</v>
      </c>
      <c r="D12" s="5" t="s">
        <v>3110</v>
      </c>
      <c r="E12" s="8">
        <v>1</v>
      </c>
      <c r="F12" s="5" t="s">
        <v>132</v>
      </c>
      <c r="G12" s="5" t="s">
        <v>668</v>
      </c>
      <c r="H12" s="5" t="s">
        <v>397</v>
      </c>
      <c r="I12" s="5"/>
      <c r="J12" s="5"/>
      <c r="K12" s="5" t="s">
        <v>3105</v>
      </c>
      <c r="L12" s="5" t="s">
        <v>276</v>
      </c>
      <c r="M12" s="5" t="s">
        <v>851</v>
      </c>
    </row>
    <row r="13" spans="1:13" ht="50.1" customHeight="1" x14ac:dyDescent="0.2">
      <c r="A13" s="5" t="s">
        <v>403</v>
      </c>
      <c r="B13" s="5" t="s">
        <v>404</v>
      </c>
      <c r="C13" s="5" t="s">
        <v>406</v>
      </c>
      <c r="D13" s="5" t="s">
        <v>3111</v>
      </c>
      <c r="E13" s="8">
        <v>1</v>
      </c>
      <c r="F13" s="5" t="s">
        <v>132</v>
      </c>
      <c r="G13" s="5" t="s">
        <v>668</v>
      </c>
      <c r="H13" s="5" t="s">
        <v>405</v>
      </c>
      <c r="I13" s="5"/>
      <c r="J13" s="5"/>
      <c r="K13" s="5" t="s">
        <v>3105</v>
      </c>
      <c r="L13" s="5" t="s">
        <v>276</v>
      </c>
      <c r="M13" s="5" t="s">
        <v>851</v>
      </c>
    </row>
    <row r="14" spans="1:13" ht="50.1" customHeight="1" x14ac:dyDescent="0.2">
      <c r="A14" s="5" t="s">
        <v>411</v>
      </c>
      <c r="B14" s="5" t="s">
        <v>412</v>
      </c>
      <c r="C14" s="5" t="s">
        <v>414</v>
      </c>
      <c r="D14" s="5" t="s">
        <v>3112</v>
      </c>
      <c r="E14" s="8">
        <v>1</v>
      </c>
      <c r="F14" s="5" t="s">
        <v>132</v>
      </c>
      <c r="G14" s="5" t="s">
        <v>668</v>
      </c>
      <c r="H14" s="5" t="s">
        <v>413</v>
      </c>
      <c r="I14" s="5"/>
      <c r="J14" s="5"/>
      <c r="K14" s="5" t="s">
        <v>3105</v>
      </c>
      <c r="L14" s="5" t="s">
        <v>276</v>
      </c>
      <c r="M14" s="5" t="s">
        <v>851</v>
      </c>
    </row>
    <row r="15" spans="1:13" ht="50.1" customHeight="1" x14ac:dyDescent="0.2">
      <c r="A15" s="5" t="s">
        <v>419</v>
      </c>
      <c r="B15" s="5" t="s">
        <v>420</v>
      </c>
      <c r="C15" s="5" t="s">
        <v>422</v>
      </c>
      <c r="D15" s="5" t="s">
        <v>3113</v>
      </c>
      <c r="E15" s="8">
        <v>1</v>
      </c>
      <c r="F15" s="5" t="s">
        <v>132</v>
      </c>
      <c r="G15" s="5" t="s">
        <v>668</v>
      </c>
      <c r="H15" s="5" t="s">
        <v>421</v>
      </c>
      <c r="I15" s="5"/>
      <c r="J15" s="5"/>
      <c r="K15" s="5" t="s">
        <v>3105</v>
      </c>
      <c r="L15" s="5" t="s">
        <v>276</v>
      </c>
      <c r="M15" s="5" t="s">
        <v>851</v>
      </c>
    </row>
    <row r="16" spans="1:13" ht="50.1" customHeight="1" x14ac:dyDescent="0.2">
      <c r="A16" s="5" t="s">
        <v>427</v>
      </c>
      <c r="B16" s="5" t="s">
        <v>385</v>
      </c>
      <c r="C16" s="5" t="s">
        <v>429</v>
      </c>
      <c r="D16" s="5" t="s">
        <v>3114</v>
      </c>
      <c r="E16" s="8">
        <v>1</v>
      </c>
      <c r="F16" s="5" t="s">
        <v>132</v>
      </c>
      <c r="G16" s="5" t="s">
        <v>668</v>
      </c>
      <c r="H16" s="5" t="s">
        <v>428</v>
      </c>
      <c r="I16" s="5"/>
      <c r="J16" s="5"/>
      <c r="K16" s="5" t="s">
        <v>3105</v>
      </c>
      <c r="L16" s="5" t="s">
        <v>276</v>
      </c>
      <c r="M16" s="5" t="s">
        <v>851</v>
      </c>
    </row>
    <row r="17" spans="1:13" ht="50.1" customHeight="1" x14ac:dyDescent="0.2">
      <c r="A17" s="5" t="s">
        <v>432</v>
      </c>
      <c r="B17" s="5" t="s">
        <v>433</v>
      </c>
      <c r="C17" s="5" t="s">
        <v>435</v>
      </c>
      <c r="D17" s="5" t="s">
        <v>3115</v>
      </c>
      <c r="E17" s="8">
        <v>1</v>
      </c>
      <c r="F17" s="5" t="s">
        <v>132</v>
      </c>
      <c r="G17" s="5" t="s">
        <v>668</v>
      </c>
      <c r="H17" s="5" t="s">
        <v>434</v>
      </c>
      <c r="I17" s="5"/>
      <c r="J17" s="5"/>
      <c r="K17" s="5" t="s">
        <v>3105</v>
      </c>
      <c r="L17" s="5" t="s">
        <v>276</v>
      </c>
      <c r="M17" s="5" t="s">
        <v>851</v>
      </c>
    </row>
    <row r="18" spans="1:13" ht="50.1" customHeight="1" x14ac:dyDescent="0.2">
      <c r="A18" s="5" t="s">
        <v>440</v>
      </c>
      <c r="B18" s="5" t="s">
        <v>441</v>
      </c>
      <c r="C18" s="5" t="s">
        <v>443</v>
      </c>
      <c r="D18" s="5" t="s">
        <v>3116</v>
      </c>
      <c r="E18" s="8">
        <v>1</v>
      </c>
      <c r="F18" s="5" t="s">
        <v>132</v>
      </c>
      <c r="G18" s="5" t="s">
        <v>668</v>
      </c>
      <c r="H18" s="5" t="s">
        <v>442</v>
      </c>
      <c r="I18" s="5"/>
      <c r="J18" s="5"/>
      <c r="K18" s="5" t="s">
        <v>3105</v>
      </c>
      <c r="L18" s="5" t="s">
        <v>276</v>
      </c>
      <c r="M18" s="5" t="s">
        <v>851</v>
      </c>
    </row>
    <row r="19" spans="1:13" ht="50.1" customHeight="1" x14ac:dyDescent="0.2">
      <c r="A19" s="5" t="s">
        <v>448</v>
      </c>
      <c r="B19" s="5" t="s">
        <v>449</v>
      </c>
      <c r="C19" s="5" t="s">
        <v>451</v>
      </c>
      <c r="D19" s="5" t="s">
        <v>3117</v>
      </c>
      <c r="E19" s="8">
        <v>1</v>
      </c>
      <c r="F19" s="5" t="s">
        <v>132</v>
      </c>
      <c r="G19" s="5" t="s">
        <v>668</v>
      </c>
      <c r="H19" s="5" t="s">
        <v>450</v>
      </c>
      <c r="I19" s="5"/>
      <c r="J19" s="5"/>
      <c r="K19" s="5" t="s">
        <v>3105</v>
      </c>
      <c r="L19" s="5" t="s">
        <v>276</v>
      </c>
      <c r="M19" s="5" t="s">
        <v>851</v>
      </c>
    </row>
    <row r="20" spans="1:13" ht="50.1" customHeight="1" x14ac:dyDescent="0.2">
      <c r="A20" s="5" t="s">
        <v>456</v>
      </c>
      <c r="B20" s="5" t="s">
        <v>457</v>
      </c>
      <c r="C20" s="5" t="s">
        <v>459</v>
      </c>
      <c r="D20" s="5" t="s">
        <v>3118</v>
      </c>
      <c r="E20" s="8">
        <v>1</v>
      </c>
      <c r="F20" s="5" t="s">
        <v>132</v>
      </c>
      <c r="G20" s="5" t="s">
        <v>668</v>
      </c>
      <c r="H20" s="5" t="s">
        <v>458</v>
      </c>
      <c r="I20" s="5"/>
      <c r="J20" s="5"/>
      <c r="K20" s="5" t="s">
        <v>3105</v>
      </c>
      <c r="L20" s="5" t="s">
        <v>276</v>
      </c>
      <c r="M20" s="5" t="s">
        <v>851</v>
      </c>
    </row>
    <row r="21" spans="1:13" ht="50.1" customHeight="1" x14ac:dyDescent="0.2">
      <c r="A21" s="5" t="s">
        <v>464</v>
      </c>
      <c r="B21" s="5" t="s">
        <v>465</v>
      </c>
      <c r="C21" s="5" t="s">
        <v>467</v>
      </c>
      <c r="D21" s="5" t="s">
        <v>3119</v>
      </c>
      <c r="E21" s="8">
        <v>1</v>
      </c>
      <c r="F21" s="5" t="s">
        <v>132</v>
      </c>
      <c r="G21" s="5" t="s">
        <v>668</v>
      </c>
      <c r="H21" s="5" t="s">
        <v>466</v>
      </c>
      <c r="I21" s="5"/>
      <c r="J21" s="5"/>
      <c r="K21" s="5" t="s">
        <v>3105</v>
      </c>
      <c r="L21" s="5" t="s">
        <v>276</v>
      </c>
      <c r="M21" s="5" t="s">
        <v>851</v>
      </c>
    </row>
    <row r="22" spans="1:13" ht="57" customHeight="1" x14ac:dyDescent="0.2">
      <c r="A22" s="5" t="s">
        <v>472</v>
      </c>
      <c r="B22" s="5" t="s">
        <v>473</v>
      </c>
      <c r="C22" s="5" t="s">
        <v>475</v>
      </c>
      <c r="D22" s="5" t="s">
        <v>3120</v>
      </c>
      <c r="E22" s="8">
        <v>1</v>
      </c>
      <c r="F22" s="5" t="s">
        <v>132</v>
      </c>
      <c r="G22" s="5" t="s">
        <v>668</v>
      </c>
      <c r="H22" s="5" t="s">
        <v>474</v>
      </c>
      <c r="I22" s="5"/>
      <c r="J22" s="5"/>
      <c r="K22" s="5" t="s">
        <v>3105</v>
      </c>
      <c r="L22" s="5" t="s">
        <v>276</v>
      </c>
      <c r="M22" s="5" t="s">
        <v>851</v>
      </c>
    </row>
    <row r="23" spans="1:13" ht="50.1" customHeight="1" x14ac:dyDescent="0.2">
      <c r="A23" s="5" t="s">
        <v>479</v>
      </c>
      <c r="B23" s="5" t="s">
        <v>157</v>
      </c>
      <c r="C23" s="5" t="s">
        <v>481</v>
      </c>
      <c r="D23" s="5" t="s">
        <v>3121</v>
      </c>
      <c r="E23" s="8">
        <v>1</v>
      </c>
      <c r="F23" s="5" t="s">
        <v>132</v>
      </c>
      <c r="G23" s="5" t="s">
        <v>668</v>
      </c>
      <c r="H23" s="5" t="s">
        <v>480</v>
      </c>
      <c r="I23" s="5"/>
      <c r="J23" s="5"/>
      <c r="K23" s="5" t="s">
        <v>3105</v>
      </c>
      <c r="L23" s="5" t="s">
        <v>276</v>
      </c>
      <c r="M23" s="5" t="s">
        <v>851</v>
      </c>
    </row>
    <row r="24" spans="1:13" ht="50.1" customHeight="1" x14ac:dyDescent="0.2">
      <c r="A24" s="5" t="s">
        <v>484</v>
      </c>
      <c r="B24" s="5" t="s">
        <v>356</v>
      </c>
      <c r="C24" s="5" t="s">
        <v>486</v>
      </c>
      <c r="D24" s="5" t="s">
        <v>3122</v>
      </c>
      <c r="E24" s="8">
        <v>1</v>
      </c>
      <c r="F24" s="5" t="s">
        <v>132</v>
      </c>
      <c r="G24" s="5" t="s">
        <v>668</v>
      </c>
      <c r="H24" s="5" t="s">
        <v>485</v>
      </c>
      <c r="I24" s="5"/>
      <c r="J24" s="5"/>
      <c r="K24" s="5" t="s">
        <v>3105</v>
      </c>
      <c r="L24" s="5" t="s">
        <v>276</v>
      </c>
      <c r="M24" s="5" t="s">
        <v>851</v>
      </c>
    </row>
    <row r="25" spans="1:13" ht="50.1" customHeight="1" x14ac:dyDescent="0.2">
      <c r="A25" s="5" t="s">
        <v>489</v>
      </c>
      <c r="B25" s="5" t="s">
        <v>368</v>
      </c>
      <c r="C25" s="5" t="s">
        <v>491</v>
      </c>
      <c r="D25" s="5" t="s">
        <v>3123</v>
      </c>
      <c r="E25" s="8">
        <v>1</v>
      </c>
      <c r="F25" s="5" t="s">
        <v>132</v>
      </c>
      <c r="G25" s="5" t="s">
        <v>668</v>
      </c>
      <c r="H25" s="5" t="s">
        <v>490</v>
      </c>
      <c r="I25" s="5"/>
      <c r="J25" s="5"/>
      <c r="K25" s="5" t="s">
        <v>3105</v>
      </c>
      <c r="L25" s="5" t="s">
        <v>276</v>
      </c>
      <c r="M25" s="5" t="s">
        <v>851</v>
      </c>
    </row>
    <row r="26" spans="1:13" ht="50.1" customHeight="1" x14ac:dyDescent="0.2">
      <c r="A26" s="5" t="s">
        <v>494</v>
      </c>
      <c r="B26" s="5" t="s">
        <v>376</v>
      </c>
      <c r="C26" s="5" t="s">
        <v>496</v>
      </c>
      <c r="D26" s="5" t="s">
        <v>3124</v>
      </c>
      <c r="E26" s="8">
        <v>1</v>
      </c>
      <c r="F26" s="5" t="s">
        <v>132</v>
      </c>
      <c r="G26" s="5" t="s">
        <v>668</v>
      </c>
      <c r="H26" s="5" t="s">
        <v>495</v>
      </c>
      <c r="I26" s="5"/>
      <c r="J26" s="5"/>
      <c r="K26" s="5" t="s">
        <v>3105</v>
      </c>
      <c r="L26" s="5" t="s">
        <v>276</v>
      </c>
      <c r="M26" s="5" t="s">
        <v>851</v>
      </c>
    </row>
    <row r="27" spans="1:13" ht="50.1" customHeight="1" x14ac:dyDescent="0.2">
      <c r="A27" s="5" t="s">
        <v>499</v>
      </c>
      <c r="B27" s="5" t="s">
        <v>500</v>
      </c>
      <c r="C27" s="5" t="s">
        <v>502</v>
      </c>
      <c r="D27" s="5" t="s">
        <v>3125</v>
      </c>
      <c r="E27" s="8">
        <v>1</v>
      </c>
      <c r="F27" s="5" t="s">
        <v>132</v>
      </c>
      <c r="G27" s="5" t="s">
        <v>668</v>
      </c>
      <c r="H27" s="5" t="s">
        <v>501</v>
      </c>
      <c r="I27" s="5"/>
      <c r="J27" s="5"/>
      <c r="K27" s="5" t="s">
        <v>3105</v>
      </c>
      <c r="L27" s="5" t="s">
        <v>276</v>
      </c>
      <c r="M27" s="5" t="s">
        <v>851</v>
      </c>
    </row>
    <row r="28" spans="1:13" ht="50.1" customHeight="1" x14ac:dyDescent="0.2">
      <c r="A28" s="5" t="s">
        <v>507</v>
      </c>
      <c r="B28" s="5" t="s">
        <v>508</v>
      </c>
      <c r="C28" s="5" t="s">
        <v>510</v>
      </c>
      <c r="D28" s="5" t="s">
        <v>3126</v>
      </c>
      <c r="E28" s="8">
        <v>1</v>
      </c>
      <c r="F28" s="5" t="s">
        <v>132</v>
      </c>
      <c r="G28" s="5" t="s">
        <v>668</v>
      </c>
      <c r="H28" s="5" t="s">
        <v>509</v>
      </c>
      <c r="I28" s="5"/>
      <c r="J28" s="5"/>
      <c r="K28" s="5" t="s">
        <v>3105</v>
      </c>
      <c r="L28" s="5" t="s">
        <v>276</v>
      </c>
      <c r="M28" s="5" t="s">
        <v>851</v>
      </c>
    </row>
    <row r="29" spans="1:13" ht="50.1" customHeight="1" x14ac:dyDescent="0.2">
      <c r="A29" s="5" t="s">
        <v>516</v>
      </c>
      <c r="B29" s="5" t="s">
        <v>517</v>
      </c>
      <c r="C29" s="5" t="s">
        <v>519</v>
      </c>
      <c r="D29" s="5" t="s">
        <v>3127</v>
      </c>
      <c r="E29" s="8">
        <v>1</v>
      </c>
      <c r="F29" s="5" t="s">
        <v>132</v>
      </c>
      <c r="G29" s="5" t="s">
        <v>668</v>
      </c>
      <c r="H29" s="5" t="s">
        <v>518</v>
      </c>
      <c r="I29" s="5"/>
      <c r="J29" s="5"/>
      <c r="K29" s="5" t="s">
        <v>3105</v>
      </c>
      <c r="L29" s="5" t="s">
        <v>276</v>
      </c>
      <c r="M29" s="5" t="s">
        <v>851</v>
      </c>
    </row>
    <row r="30" spans="1:13" ht="50.1" customHeight="1" x14ac:dyDescent="0.2">
      <c r="A30" s="5" t="s">
        <v>524</v>
      </c>
      <c r="B30" s="5" t="s">
        <v>525</v>
      </c>
      <c r="C30" s="5" t="s">
        <v>527</v>
      </c>
      <c r="D30" s="5" t="s">
        <v>3128</v>
      </c>
      <c r="E30" s="8">
        <v>1</v>
      </c>
      <c r="F30" s="5" t="s">
        <v>132</v>
      </c>
      <c r="G30" s="5" t="s">
        <v>668</v>
      </c>
      <c r="H30" s="5" t="s">
        <v>526</v>
      </c>
      <c r="I30" s="5"/>
      <c r="J30" s="5"/>
      <c r="K30" s="5" t="s">
        <v>3105</v>
      </c>
      <c r="L30" s="5" t="s">
        <v>276</v>
      </c>
      <c r="M30" s="5" t="s">
        <v>851</v>
      </c>
    </row>
    <row r="31" spans="1:13" ht="50.1" customHeight="1" x14ac:dyDescent="0.2">
      <c r="A31" s="5" t="s">
        <v>532</v>
      </c>
      <c r="B31" s="5" t="s">
        <v>533</v>
      </c>
      <c r="C31" s="5" t="s">
        <v>535</v>
      </c>
      <c r="D31" s="5" t="s">
        <v>3129</v>
      </c>
      <c r="E31" s="8">
        <v>1</v>
      </c>
      <c r="F31" s="5" t="s">
        <v>132</v>
      </c>
      <c r="G31" s="5" t="s">
        <v>668</v>
      </c>
      <c r="H31" s="5" t="s">
        <v>534</v>
      </c>
      <c r="I31" s="5"/>
      <c r="J31" s="5"/>
      <c r="K31" s="5" t="s">
        <v>3105</v>
      </c>
      <c r="L31" s="5" t="s">
        <v>276</v>
      </c>
      <c r="M31" s="5" t="s">
        <v>851</v>
      </c>
    </row>
    <row r="32" spans="1:13" ht="50.1" customHeight="1" x14ac:dyDescent="0.2">
      <c r="A32" s="5" t="s">
        <v>540</v>
      </c>
      <c r="B32" s="5" t="s">
        <v>541</v>
      </c>
      <c r="C32" s="5" t="s">
        <v>543</v>
      </c>
      <c r="D32" s="5" t="s">
        <v>3130</v>
      </c>
      <c r="E32" s="8">
        <v>1</v>
      </c>
      <c r="F32" s="5" t="s">
        <v>132</v>
      </c>
      <c r="G32" s="5" t="s">
        <v>668</v>
      </c>
      <c r="H32" s="5" t="s">
        <v>542</v>
      </c>
      <c r="I32" s="5"/>
      <c r="J32" s="5"/>
      <c r="K32" s="5" t="s">
        <v>3105</v>
      </c>
      <c r="L32" s="5" t="s">
        <v>276</v>
      </c>
      <c r="M32" s="5" t="s">
        <v>851</v>
      </c>
    </row>
    <row r="33" spans="1:13" ht="50.1" customHeight="1" x14ac:dyDescent="0.2">
      <c r="A33" s="5" t="s">
        <v>548</v>
      </c>
      <c r="B33" s="5" t="s">
        <v>549</v>
      </c>
      <c r="C33" s="5" t="s">
        <v>551</v>
      </c>
      <c r="D33" s="5" t="s">
        <v>3131</v>
      </c>
      <c r="E33" s="8">
        <v>1</v>
      </c>
      <c r="F33" s="5" t="s">
        <v>132</v>
      </c>
      <c r="G33" s="5" t="s">
        <v>668</v>
      </c>
      <c r="H33" s="5" t="s">
        <v>550</v>
      </c>
      <c r="I33" s="5"/>
      <c r="J33" s="5"/>
      <c r="K33" s="5" t="s">
        <v>3105</v>
      </c>
      <c r="L33" s="5" t="s">
        <v>276</v>
      </c>
      <c r="M33" s="5" t="s">
        <v>851</v>
      </c>
    </row>
    <row r="34" spans="1:13" ht="50.1" customHeight="1" x14ac:dyDescent="0.2">
      <c r="A34" s="5" t="s">
        <v>556</v>
      </c>
      <c r="B34" s="5" t="s">
        <v>557</v>
      </c>
      <c r="C34" s="5" t="s">
        <v>559</v>
      </c>
      <c r="D34" s="5" t="s">
        <v>3132</v>
      </c>
      <c r="E34" s="8">
        <v>1</v>
      </c>
      <c r="F34" s="5" t="s">
        <v>132</v>
      </c>
      <c r="G34" s="5" t="s">
        <v>668</v>
      </c>
      <c r="H34" s="5" t="s">
        <v>558</v>
      </c>
      <c r="I34" s="5"/>
      <c r="J34" s="5"/>
      <c r="K34" s="5" t="s">
        <v>3105</v>
      </c>
      <c r="L34" s="5" t="s">
        <v>276</v>
      </c>
      <c r="M34" s="5" t="s">
        <v>851</v>
      </c>
    </row>
    <row r="35" spans="1:13" ht="50.1" customHeight="1" x14ac:dyDescent="0.2">
      <c r="A35" s="5" t="s">
        <v>564</v>
      </c>
      <c r="B35" s="5" t="s">
        <v>565</v>
      </c>
      <c r="C35" s="5" t="s">
        <v>567</v>
      </c>
      <c r="D35" s="5" t="s">
        <v>3133</v>
      </c>
      <c r="E35" s="8">
        <v>1</v>
      </c>
      <c r="F35" s="5" t="s">
        <v>132</v>
      </c>
      <c r="G35" s="5" t="s">
        <v>668</v>
      </c>
      <c r="H35" s="5" t="s">
        <v>566</v>
      </c>
      <c r="I35" s="5"/>
      <c r="J35" s="5"/>
      <c r="K35" s="5" t="s">
        <v>3105</v>
      </c>
      <c r="L35" s="5" t="s">
        <v>276</v>
      </c>
      <c r="M35" s="5" t="s">
        <v>851</v>
      </c>
    </row>
    <row r="36" spans="1:13" ht="50.1" customHeight="1" x14ac:dyDescent="0.2">
      <c r="A36" s="5" t="s">
        <v>574</v>
      </c>
      <c r="B36" s="5" t="s">
        <v>226</v>
      </c>
      <c r="C36" s="5" t="s">
        <v>576</v>
      </c>
      <c r="D36" s="5" t="s">
        <v>3134</v>
      </c>
      <c r="E36" s="8">
        <v>1</v>
      </c>
      <c r="F36" s="5" t="s">
        <v>132</v>
      </c>
      <c r="G36" s="5" t="s">
        <v>668</v>
      </c>
      <c r="H36" s="5" t="s">
        <v>575</v>
      </c>
      <c r="I36" s="5"/>
      <c r="J36" s="5"/>
      <c r="K36" s="5" t="s">
        <v>3105</v>
      </c>
      <c r="L36" s="5" t="s">
        <v>276</v>
      </c>
      <c r="M36" s="5" t="s">
        <v>851</v>
      </c>
    </row>
    <row r="37" spans="1:13" ht="50.1" customHeight="1" x14ac:dyDescent="0.2">
      <c r="A37" s="5" t="s">
        <v>579</v>
      </c>
      <c r="B37" s="5" t="s">
        <v>356</v>
      </c>
      <c r="C37" s="5" t="s">
        <v>581</v>
      </c>
      <c r="D37" s="5" t="s">
        <v>3135</v>
      </c>
      <c r="E37" s="8">
        <v>1</v>
      </c>
      <c r="F37" s="5" t="s">
        <v>132</v>
      </c>
      <c r="G37" s="5" t="s">
        <v>668</v>
      </c>
      <c r="H37" s="5" t="s">
        <v>580</v>
      </c>
      <c r="I37" s="5"/>
      <c r="J37" s="5"/>
      <c r="K37" s="5" t="s">
        <v>3105</v>
      </c>
      <c r="L37" s="5" t="s">
        <v>276</v>
      </c>
      <c r="M37" s="5" t="s">
        <v>851</v>
      </c>
    </row>
    <row r="38" spans="1:13" ht="50.1" customHeight="1" x14ac:dyDescent="0.2">
      <c r="A38" s="5" t="s">
        <v>584</v>
      </c>
      <c r="B38" s="5" t="s">
        <v>368</v>
      </c>
      <c r="C38" s="5" t="s">
        <v>586</v>
      </c>
      <c r="D38" s="5" t="s">
        <v>3136</v>
      </c>
      <c r="E38" s="8">
        <v>1</v>
      </c>
      <c r="F38" s="5" t="s">
        <v>132</v>
      </c>
      <c r="G38" s="5" t="s">
        <v>668</v>
      </c>
      <c r="H38" s="5" t="s">
        <v>585</v>
      </c>
      <c r="I38" s="5"/>
      <c r="J38" s="5"/>
      <c r="K38" s="5" t="s">
        <v>3105</v>
      </c>
      <c r="L38" s="5" t="s">
        <v>276</v>
      </c>
      <c r="M38" s="5" t="s">
        <v>851</v>
      </c>
    </row>
    <row r="39" spans="1:13" ht="50.1" customHeight="1" x14ac:dyDescent="0.2">
      <c r="A39" s="5" t="s">
        <v>589</v>
      </c>
      <c r="B39" s="5" t="s">
        <v>376</v>
      </c>
      <c r="C39" s="5" t="s">
        <v>591</v>
      </c>
      <c r="D39" s="5" t="s">
        <v>3137</v>
      </c>
      <c r="E39" s="8">
        <v>1</v>
      </c>
      <c r="F39" s="5" t="s">
        <v>132</v>
      </c>
      <c r="G39" s="5" t="s">
        <v>668</v>
      </c>
      <c r="H39" s="5" t="s">
        <v>590</v>
      </c>
      <c r="I39" s="5"/>
      <c r="J39" s="5"/>
      <c r="K39" s="5" t="s">
        <v>3105</v>
      </c>
      <c r="L39" s="5" t="s">
        <v>276</v>
      </c>
      <c r="M39" s="5" t="s">
        <v>851</v>
      </c>
    </row>
    <row r="40" spans="1:13" ht="50.1" customHeight="1" x14ac:dyDescent="0.2">
      <c r="A40" s="5" t="s">
        <v>594</v>
      </c>
      <c r="B40" s="5" t="s">
        <v>595</v>
      </c>
      <c r="C40" s="5" t="s">
        <v>597</v>
      </c>
      <c r="D40" s="5" t="s">
        <v>3138</v>
      </c>
      <c r="E40" s="8">
        <v>1</v>
      </c>
      <c r="F40" s="5" t="s">
        <v>132</v>
      </c>
      <c r="G40" s="5" t="s">
        <v>668</v>
      </c>
      <c r="H40" s="5" t="s">
        <v>596</v>
      </c>
      <c r="I40" s="5"/>
      <c r="J40" s="5"/>
      <c r="K40" s="5" t="s">
        <v>3105</v>
      </c>
      <c r="L40" s="5" t="s">
        <v>276</v>
      </c>
      <c r="M40" s="5" t="s">
        <v>851</v>
      </c>
    </row>
    <row r="41" spans="1:13" ht="50.1" customHeight="1" x14ac:dyDescent="0.2">
      <c r="A41" s="5" t="s">
        <v>602</v>
      </c>
      <c r="B41" s="5" t="s">
        <v>603</v>
      </c>
      <c r="C41" s="5" t="s">
        <v>605</v>
      </c>
      <c r="D41" s="5" t="s">
        <v>3139</v>
      </c>
      <c r="E41" s="8">
        <v>1</v>
      </c>
      <c r="F41" s="5" t="s">
        <v>132</v>
      </c>
      <c r="G41" s="5" t="s">
        <v>668</v>
      </c>
      <c r="H41" s="5" t="s">
        <v>604</v>
      </c>
      <c r="I41" s="5"/>
      <c r="J41" s="5"/>
      <c r="K41" s="5" t="s">
        <v>3105</v>
      </c>
      <c r="L41" s="5" t="s">
        <v>276</v>
      </c>
      <c r="M41" s="5" t="s">
        <v>851</v>
      </c>
    </row>
    <row r="42" spans="1:13" ht="50.1" customHeight="1" x14ac:dyDescent="0.2">
      <c r="A42" s="5" t="s">
        <v>610</v>
      </c>
      <c r="B42" s="5" t="s">
        <v>412</v>
      </c>
      <c r="C42" s="5" t="s">
        <v>612</v>
      </c>
      <c r="D42" s="5" t="s">
        <v>3140</v>
      </c>
      <c r="E42" s="8">
        <v>1</v>
      </c>
      <c r="F42" s="5" t="s">
        <v>132</v>
      </c>
      <c r="G42" s="5" t="s">
        <v>668</v>
      </c>
      <c r="H42" s="5" t="s">
        <v>611</v>
      </c>
      <c r="I42" s="5"/>
      <c r="J42" s="5"/>
      <c r="K42" s="5" t="s">
        <v>3105</v>
      </c>
      <c r="L42" s="5" t="s">
        <v>276</v>
      </c>
      <c r="M42" s="5" t="s">
        <v>851</v>
      </c>
    </row>
    <row r="43" spans="1:13" ht="50.1" customHeight="1" x14ac:dyDescent="0.2">
      <c r="A43" s="5" t="s">
        <v>615</v>
      </c>
      <c r="B43" s="5" t="s">
        <v>616</v>
      </c>
      <c r="C43" s="5" t="s">
        <v>618</v>
      </c>
      <c r="D43" s="5" t="s">
        <v>3141</v>
      </c>
      <c r="E43" s="8">
        <v>1</v>
      </c>
      <c r="F43" s="5" t="s">
        <v>132</v>
      </c>
      <c r="G43" s="5" t="s">
        <v>668</v>
      </c>
      <c r="H43" s="5" t="s">
        <v>617</v>
      </c>
      <c r="I43" s="5"/>
      <c r="J43" s="5"/>
      <c r="K43" s="5" t="s">
        <v>3105</v>
      </c>
      <c r="L43" s="5" t="s">
        <v>276</v>
      </c>
      <c r="M43" s="5" t="s">
        <v>851</v>
      </c>
    </row>
    <row r="44" spans="1:13" ht="50.1" customHeight="1" x14ac:dyDescent="0.2">
      <c r="A44" s="5" t="s">
        <v>623</v>
      </c>
      <c r="B44" s="5" t="s">
        <v>624</v>
      </c>
      <c r="C44" s="5" t="s">
        <v>626</v>
      </c>
      <c r="D44" s="5" t="s">
        <v>3142</v>
      </c>
      <c r="E44" s="8">
        <v>1</v>
      </c>
      <c r="F44" s="5" t="s">
        <v>132</v>
      </c>
      <c r="G44" s="5" t="s">
        <v>668</v>
      </c>
      <c r="H44" s="5" t="s">
        <v>625</v>
      </c>
      <c r="I44" s="5"/>
      <c r="J44" s="5"/>
      <c r="K44" s="5" t="s">
        <v>3105</v>
      </c>
      <c r="L44" s="5" t="s">
        <v>276</v>
      </c>
      <c r="M44" s="5" t="s">
        <v>851</v>
      </c>
    </row>
    <row r="45" spans="1:13" ht="50.1" customHeight="1" x14ac:dyDescent="0.2">
      <c r="A45" s="5" t="s">
        <v>630</v>
      </c>
      <c r="B45" s="5" t="s">
        <v>412</v>
      </c>
      <c r="C45" s="5" t="s">
        <v>632</v>
      </c>
      <c r="D45" s="5" t="s">
        <v>3143</v>
      </c>
      <c r="E45" s="8">
        <v>1</v>
      </c>
      <c r="F45" s="5" t="s">
        <v>132</v>
      </c>
      <c r="G45" s="5" t="s">
        <v>668</v>
      </c>
      <c r="H45" s="5" t="s">
        <v>631</v>
      </c>
      <c r="I45" s="5"/>
      <c r="J45" s="5"/>
      <c r="K45" s="5" t="s">
        <v>3105</v>
      </c>
      <c r="L45" s="5" t="s">
        <v>276</v>
      </c>
      <c r="M45" s="5" t="s">
        <v>851</v>
      </c>
    </row>
    <row r="46" spans="1:13" ht="50.1" customHeight="1" x14ac:dyDescent="0.2">
      <c r="A46" s="5" t="s">
        <v>635</v>
      </c>
      <c r="B46" s="5" t="s">
        <v>636</v>
      </c>
      <c r="C46" s="5" t="s">
        <v>638</v>
      </c>
      <c r="D46" s="5" t="s">
        <v>3144</v>
      </c>
      <c r="E46" s="8">
        <v>1</v>
      </c>
      <c r="F46" s="5" t="s">
        <v>132</v>
      </c>
      <c r="G46" s="5" t="s">
        <v>668</v>
      </c>
      <c r="H46" s="5" t="s">
        <v>637</v>
      </c>
      <c r="I46" s="5"/>
      <c r="J46" s="5"/>
      <c r="K46" s="5" t="s">
        <v>3105</v>
      </c>
      <c r="L46" s="5" t="s">
        <v>276</v>
      </c>
      <c r="M46" s="5" t="s">
        <v>851</v>
      </c>
    </row>
    <row r="47" spans="1:13" ht="50.1" customHeight="1" x14ac:dyDescent="0.2">
      <c r="A47" s="5" t="s">
        <v>642</v>
      </c>
      <c r="B47" s="5" t="s">
        <v>643</v>
      </c>
      <c r="C47" s="5" t="s">
        <v>645</v>
      </c>
      <c r="D47" s="5" t="s">
        <v>3145</v>
      </c>
      <c r="E47" s="8">
        <v>1</v>
      </c>
      <c r="F47" s="5" t="s">
        <v>132</v>
      </c>
      <c r="G47" s="5" t="s">
        <v>668</v>
      </c>
      <c r="H47" s="5" t="s">
        <v>644</v>
      </c>
      <c r="I47" s="5"/>
      <c r="J47" s="5"/>
      <c r="K47" s="5" t="s">
        <v>3105</v>
      </c>
      <c r="L47" s="5" t="s">
        <v>276</v>
      </c>
      <c r="M47" s="5" t="s">
        <v>851</v>
      </c>
    </row>
    <row r="48" spans="1:13" ht="50.1" customHeight="1" x14ac:dyDescent="0.2">
      <c r="A48" s="5" t="s">
        <v>650</v>
      </c>
      <c r="B48" s="5" t="s">
        <v>651</v>
      </c>
      <c r="C48" s="5" t="s">
        <v>653</v>
      </c>
      <c r="D48" s="5" t="s">
        <v>3146</v>
      </c>
      <c r="E48" s="8">
        <v>1</v>
      </c>
      <c r="F48" s="5" t="s">
        <v>132</v>
      </c>
      <c r="G48" s="5" t="s">
        <v>668</v>
      </c>
      <c r="H48" s="5" t="s">
        <v>652</v>
      </c>
      <c r="I48" s="5"/>
      <c r="J48" s="5"/>
      <c r="K48" s="5" t="s">
        <v>3105</v>
      </c>
      <c r="L48" s="5" t="s">
        <v>276</v>
      </c>
      <c r="M48" s="5" t="s">
        <v>851</v>
      </c>
    </row>
    <row r="49" spans="1:13" ht="50.1" customHeight="1" x14ac:dyDescent="0.2">
      <c r="A49" s="5" t="s">
        <v>658</v>
      </c>
      <c r="B49" s="5" t="s">
        <v>659</v>
      </c>
      <c r="C49" s="5" t="s">
        <v>661</v>
      </c>
      <c r="D49" s="5" t="s">
        <v>3147</v>
      </c>
      <c r="E49" s="8">
        <v>1</v>
      </c>
      <c r="F49" s="5" t="s">
        <v>132</v>
      </c>
      <c r="G49" s="5" t="s">
        <v>668</v>
      </c>
      <c r="H49" s="5" t="s">
        <v>660</v>
      </c>
      <c r="I49" s="5"/>
      <c r="J49" s="5"/>
      <c r="K49" s="5" t="s">
        <v>3105</v>
      </c>
      <c r="L49" s="5" t="s">
        <v>276</v>
      </c>
      <c r="M49" s="5" t="s">
        <v>851</v>
      </c>
    </row>
    <row r="50" spans="1:13" ht="50.1" customHeight="1" x14ac:dyDescent="0.2">
      <c r="A50" s="5" t="s">
        <v>665</v>
      </c>
      <c r="B50" s="5" t="s">
        <v>325</v>
      </c>
      <c r="C50" s="5" t="s">
        <v>667</v>
      </c>
      <c r="D50" s="5" t="s">
        <v>3148</v>
      </c>
      <c r="E50" s="8">
        <v>1</v>
      </c>
      <c r="F50" s="5" t="s">
        <v>132</v>
      </c>
      <c r="G50" s="5" t="s">
        <v>668</v>
      </c>
      <c r="H50" s="5" t="s">
        <v>666</v>
      </c>
      <c r="I50" s="5"/>
      <c r="J50" s="5"/>
      <c r="K50" s="5" t="s">
        <v>3105</v>
      </c>
      <c r="L50" s="5" t="s">
        <v>276</v>
      </c>
      <c r="M50" s="5" t="s">
        <v>851</v>
      </c>
    </row>
    <row r="51" spans="1:13" ht="50.1" customHeight="1" x14ac:dyDescent="0.2">
      <c r="A51" s="5" t="s">
        <v>670</v>
      </c>
      <c r="B51" s="5" t="s">
        <v>356</v>
      </c>
      <c r="C51" s="5" t="s">
        <v>672</v>
      </c>
      <c r="D51" s="5" t="s">
        <v>3149</v>
      </c>
      <c r="E51" s="8">
        <v>1</v>
      </c>
      <c r="F51" s="5" t="s">
        <v>132</v>
      </c>
      <c r="G51" s="5" t="s">
        <v>668</v>
      </c>
      <c r="H51" s="5" t="s">
        <v>671</v>
      </c>
      <c r="I51" s="5"/>
      <c r="J51" s="5"/>
      <c r="K51" s="5" t="s">
        <v>3105</v>
      </c>
      <c r="L51" s="5" t="s">
        <v>276</v>
      </c>
      <c r="M51" s="5" t="s">
        <v>851</v>
      </c>
    </row>
    <row r="52" spans="1:13" ht="50.1" customHeight="1" x14ac:dyDescent="0.2">
      <c r="A52" s="5" t="s">
        <v>675</v>
      </c>
      <c r="B52" s="5" t="s">
        <v>368</v>
      </c>
      <c r="C52" s="5" t="s">
        <v>677</v>
      </c>
      <c r="D52" s="5" t="s">
        <v>3150</v>
      </c>
      <c r="E52" s="8">
        <v>1</v>
      </c>
      <c r="F52" s="5" t="s">
        <v>132</v>
      </c>
      <c r="G52" s="5" t="s">
        <v>668</v>
      </c>
      <c r="H52" s="5" t="s">
        <v>676</v>
      </c>
      <c r="I52" s="5"/>
      <c r="J52" s="5"/>
      <c r="K52" s="5" t="s">
        <v>3105</v>
      </c>
      <c r="L52" s="5" t="s">
        <v>276</v>
      </c>
      <c r="M52" s="5" t="s">
        <v>851</v>
      </c>
    </row>
    <row r="53" spans="1:13" ht="50.1" customHeight="1" x14ac:dyDescent="0.2">
      <c r="A53" s="5" t="s">
        <v>680</v>
      </c>
      <c r="B53" s="5" t="s">
        <v>376</v>
      </c>
      <c r="C53" s="5" t="s">
        <v>682</v>
      </c>
      <c r="D53" s="5" t="s">
        <v>3151</v>
      </c>
      <c r="E53" s="8">
        <v>1</v>
      </c>
      <c r="F53" s="5" t="s">
        <v>132</v>
      </c>
      <c r="G53" s="5" t="s">
        <v>668</v>
      </c>
      <c r="H53" s="5" t="s">
        <v>681</v>
      </c>
      <c r="I53" s="5"/>
      <c r="J53" s="5"/>
      <c r="K53" s="5" t="s">
        <v>3105</v>
      </c>
      <c r="L53" s="5" t="s">
        <v>276</v>
      </c>
      <c r="M53" s="5" t="s">
        <v>851</v>
      </c>
    </row>
    <row r="54" spans="1:13" ht="50.1" customHeight="1" x14ac:dyDescent="0.2">
      <c r="A54" s="5" t="s">
        <v>685</v>
      </c>
      <c r="B54" s="5" t="s">
        <v>500</v>
      </c>
      <c r="C54" s="5" t="s">
        <v>687</v>
      </c>
      <c r="D54" s="5" t="s">
        <v>3152</v>
      </c>
      <c r="E54" s="8">
        <v>1</v>
      </c>
      <c r="F54" s="5" t="s">
        <v>132</v>
      </c>
      <c r="G54" s="5" t="s">
        <v>668</v>
      </c>
      <c r="H54" s="5" t="s">
        <v>686</v>
      </c>
      <c r="I54" s="5"/>
      <c r="J54" s="5"/>
      <c r="K54" s="5" t="s">
        <v>3105</v>
      </c>
      <c r="L54" s="5" t="s">
        <v>276</v>
      </c>
      <c r="M54" s="5" t="s">
        <v>851</v>
      </c>
    </row>
    <row r="55" spans="1:13" ht="50.1" customHeight="1" x14ac:dyDescent="0.2">
      <c r="A55" s="5" t="s">
        <v>690</v>
      </c>
      <c r="B55" s="5" t="s">
        <v>691</v>
      </c>
      <c r="C55" s="5" t="s">
        <v>693</v>
      </c>
      <c r="D55" s="5" t="s">
        <v>3153</v>
      </c>
      <c r="E55" s="8">
        <v>1</v>
      </c>
      <c r="F55" s="5" t="s">
        <v>132</v>
      </c>
      <c r="G55" s="5" t="s">
        <v>668</v>
      </c>
      <c r="H55" s="5" t="s">
        <v>692</v>
      </c>
      <c r="I55" s="5"/>
      <c r="J55" s="5"/>
      <c r="K55" s="5" t="s">
        <v>3105</v>
      </c>
      <c r="L55" s="5" t="s">
        <v>276</v>
      </c>
      <c r="M55" s="5" t="s">
        <v>851</v>
      </c>
    </row>
    <row r="56" spans="1:13" ht="50.1" customHeight="1" x14ac:dyDescent="0.2">
      <c r="A56" s="5" t="s">
        <v>697</v>
      </c>
      <c r="B56" s="5" t="s">
        <v>698</v>
      </c>
      <c r="C56" s="5" t="s">
        <v>700</v>
      </c>
      <c r="D56" s="5" t="s">
        <v>3154</v>
      </c>
      <c r="E56" s="8">
        <v>1</v>
      </c>
      <c r="F56" s="5" t="s">
        <v>132</v>
      </c>
      <c r="G56" s="5" t="s">
        <v>668</v>
      </c>
      <c r="H56" s="5" t="s">
        <v>699</v>
      </c>
      <c r="I56" s="5"/>
      <c r="J56" s="5"/>
      <c r="K56" s="5" t="s">
        <v>3105</v>
      </c>
      <c r="L56" s="5" t="s">
        <v>276</v>
      </c>
      <c r="M56" s="5" t="s">
        <v>851</v>
      </c>
    </row>
    <row r="57" spans="1:13" ht="50.1" customHeight="1" x14ac:dyDescent="0.2">
      <c r="A57" s="5" t="s">
        <v>706</v>
      </c>
      <c r="B57" s="5" t="s">
        <v>707</v>
      </c>
      <c r="C57" s="5" t="s">
        <v>709</v>
      </c>
      <c r="D57" s="5" t="s">
        <v>3155</v>
      </c>
      <c r="E57" s="8">
        <v>1</v>
      </c>
      <c r="F57" s="5" t="s">
        <v>132</v>
      </c>
      <c r="G57" s="5" t="s">
        <v>668</v>
      </c>
      <c r="H57" s="5" t="s">
        <v>708</v>
      </c>
      <c r="I57" s="5"/>
      <c r="J57" s="5"/>
      <c r="K57" s="5" t="s">
        <v>3105</v>
      </c>
      <c r="L57" s="5" t="s">
        <v>276</v>
      </c>
      <c r="M57" s="5" t="s">
        <v>851</v>
      </c>
    </row>
    <row r="58" spans="1:13" ht="50.1" customHeight="1" x14ac:dyDescent="0.2">
      <c r="A58" s="5" t="s">
        <v>715</v>
      </c>
      <c r="B58" s="5" t="s">
        <v>716</v>
      </c>
      <c r="C58" s="5" t="s">
        <v>718</v>
      </c>
      <c r="D58" s="5" t="s">
        <v>3156</v>
      </c>
      <c r="E58" s="8">
        <v>1</v>
      </c>
      <c r="F58" s="5" t="s">
        <v>132</v>
      </c>
      <c r="G58" s="5" t="s">
        <v>668</v>
      </c>
      <c r="H58" s="5" t="s">
        <v>717</v>
      </c>
      <c r="I58" s="5"/>
      <c r="J58" s="5"/>
      <c r="K58" s="5" t="s">
        <v>3105</v>
      </c>
      <c r="L58" s="5" t="s">
        <v>276</v>
      </c>
      <c r="M58" s="5" t="s">
        <v>851</v>
      </c>
    </row>
    <row r="59" spans="1:13" ht="50.1" customHeight="1" x14ac:dyDescent="0.2">
      <c r="A59" s="5" t="s">
        <v>723</v>
      </c>
      <c r="B59" s="5" t="s">
        <v>724</v>
      </c>
      <c r="C59" s="5" t="s">
        <v>726</v>
      </c>
      <c r="D59" s="5" t="s">
        <v>3157</v>
      </c>
      <c r="E59" s="8">
        <v>1</v>
      </c>
      <c r="F59" s="5" t="s">
        <v>132</v>
      </c>
      <c r="G59" s="5" t="s">
        <v>668</v>
      </c>
      <c r="H59" s="5" t="s">
        <v>725</v>
      </c>
      <c r="I59" s="5"/>
      <c r="J59" s="5"/>
      <c r="K59" s="5" t="s">
        <v>3105</v>
      </c>
      <c r="L59" s="5" t="s">
        <v>276</v>
      </c>
      <c r="M59" s="5" t="s">
        <v>851</v>
      </c>
    </row>
    <row r="60" spans="1:13" ht="50.1" customHeight="1" x14ac:dyDescent="0.2">
      <c r="A60" s="5" t="s">
        <v>731</v>
      </c>
      <c r="B60" s="5" t="s">
        <v>732</v>
      </c>
      <c r="C60" s="5" t="s">
        <v>734</v>
      </c>
      <c r="D60" s="5" t="s">
        <v>3158</v>
      </c>
      <c r="E60" s="8">
        <v>1</v>
      </c>
      <c r="F60" s="5" t="s">
        <v>132</v>
      </c>
      <c r="G60" s="5" t="s">
        <v>668</v>
      </c>
      <c r="H60" s="5" t="s">
        <v>733</v>
      </c>
      <c r="I60" s="5"/>
      <c r="J60" s="5"/>
      <c r="K60" s="5" t="s">
        <v>3105</v>
      </c>
      <c r="L60" s="5" t="s">
        <v>276</v>
      </c>
      <c r="M60" s="5" t="s">
        <v>851</v>
      </c>
    </row>
    <row r="61" spans="1:13" ht="50.1" customHeight="1" x14ac:dyDescent="0.2">
      <c r="A61" s="5" t="s">
        <v>739</v>
      </c>
      <c r="B61" s="5" t="s">
        <v>740</v>
      </c>
      <c r="C61" s="5" t="s">
        <v>742</v>
      </c>
      <c r="D61" s="5" t="s">
        <v>3159</v>
      </c>
      <c r="E61" s="8">
        <v>1</v>
      </c>
      <c r="F61" s="5" t="s">
        <v>132</v>
      </c>
      <c r="G61" s="5" t="s">
        <v>668</v>
      </c>
      <c r="H61" s="5" t="s">
        <v>741</v>
      </c>
      <c r="I61" s="5"/>
      <c r="J61" s="5"/>
      <c r="K61" s="5" t="s">
        <v>3105</v>
      </c>
      <c r="L61" s="5" t="s">
        <v>276</v>
      </c>
      <c r="M61" s="5" t="s">
        <v>851</v>
      </c>
    </row>
    <row r="62" spans="1:13" ht="50.1" customHeight="1" x14ac:dyDescent="0.2">
      <c r="A62" s="5" t="s">
        <v>747</v>
      </c>
      <c r="B62" s="5" t="s">
        <v>748</v>
      </c>
      <c r="C62" s="5" t="s">
        <v>750</v>
      </c>
      <c r="D62" s="5" t="s">
        <v>3160</v>
      </c>
      <c r="E62" s="8">
        <v>1</v>
      </c>
      <c r="F62" s="5" t="s">
        <v>132</v>
      </c>
      <c r="G62" s="5" t="s">
        <v>668</v>
      </c>
      <c r="H62" s="5" t="s">
        <v>749</v>
      </c>
      <c r="I62" s="5"/>
      <c r="J62" s="5"/>
      <c r="K62" s="5" t="s">
        <v>3105</v>
      </c>
      <c r="L62" s="5" t="s">
        <v>276</v>
      </c>
      <c r="M62" s="5" t="s">
        <v>851</v>
      </c>
    </row>
    <row r="63" spans="1:13" ht="50.1" customHeight="1" x14ac:dyDescent="0.2">
      <c r="A63" s="5" t="s">
        <v>755</v>
      </c>
      <c r="B63" s="5" t="s">
        <v>756</v>
      </c>
      <c r="C63" s="5" t="s">
        <v>758</v>
      </c>
      <c r="D63" s="5" t="s">
        <v>3161</v>
      </c>
      <c r="E63" s="8">
        <v>1</v>
      </c>
      <c r="F63" s="5" t="s">
        <v>132</v>
      </c>
      <c r="G63" s="5" t="s">
        <v>668</v>
      </c>
      <c r="H63" s="5" t="s">
        <v>757</v>
      </c>
      <c r="I63" s="5"/>
      <c r="J63" s="5"/>
      <c r="K63" s="5" t="s">
        <v>3105</v>
      </c>
      <c r="L63" s="5" t="s">
        <v>276</v>
      </c>
      <c r="M63" s="5" t="s">
        <v>851</v>
      </c>
    </row>
    <row r="64" spans="1:13" ht="50.1" customHeight="1" x14ac:dyDescent="0.2">
      <c r="A64" s="5" t="s">
        <v>763</v>
      </c>
      <c r="B64" s="5" t="s">
        <v>764</v>
      </c>
      <c r="C64" s="5" t="s">
        <v>766</v>
      </c>
      <c r="D64" s="5" t="s">
        <v>3162</v>
      </c>
      <c r="E64" s="8">
        <v>1</v>
      </c>
      <c r="F64" s="5" t="s">
        <v>132</v>
      </c>
      <c r="G64" s="5" t="s">
        <v>668</v>
      </c>
      <c r="H64" s="5" t="s">
        <v>765</v>
      </c>
      <c r="I64" s="5"/>
      <c r="J64" s="5"/>
      <c r="K64" s="5" t="s">
        <v>3105</v>
      </c>
      <c r="L64" s="5" t="s">
        <v>276</v>
      </c>
      <c r="M64" s="5" t="s">
        <v>851</v>
      </c>
    </row>
    <row r="65" spans="1:13" ht="50.1" customHeight="1" x14ac:dyDescent="0.2">
      <c r="A65" s="5" t="s">
        <v>769</v>
      </c>
      <c r="B65" s="5" t="s">
        <v>356</v>
      </c>
      <c r="C65" s="5" t="s">
        <v>771</v>
      </c>
      <c r="D65" s="5" t="s">
        <v>3163</v>
      </c>
      <c r="E65" s="8">
        <v>1</v>
      </c>
      <c r="F65" s="5" t="s">
        <v>132</v>
      </c>
      <c r="G65" s="5" t="s">
        <v>668</v>
      </c>
      <c r="H65" s="5" t="s">
        <v>770</v>
      </c>
      <c r="I65" s="5"/>
      <c r="J65" s="5"/>
      <c r="K65" s="5" t="s">
        <v>3105</v>
      </c>
      <c r="L65" s="5" t="s">
        <v>276</v>
      </c>
      <c r="M65" s="5" t="s">
        <v>851</v>
      </c>
    </row>
    <row r="66" spans="1:13" ht="50.1" customHeight="1" x14ac:dyDescent="0.2">
      <c r="A66" s="5" t="s">
        <v>774</v>
      </c>
      <c r="B66" s="5" t="s">
        <v>368</v>
      </c>
      <c r="C66" s="5" t="s">
        <v>776</v>
      </c>
      <c r="D66" s="5" t="s">
        <v>3164</v>
      </c>
      <c r="E66" s="8">
        <v>1</v>
      </c>
      <c r="F66" s="5" t="s">
        <v>132</v>
      </c>
      <c r="G66" s="5" t="s">
        <v>668</v>
      </c>
      <c r="H66" s="5" t="s">
        <v>775</v>
      </c>
      <c r="I66" s="5"/>
      <c r="J66" s="5"/>
      <c r="K66" s="5" t="s">
        <v>3105</v>
      </c>
      <c r="L66" s="5" t="s">
        <v>276</v>
      </c>
      <c r="M66" s="5" t="s">
        <v>851</v>
      </c>
    </row>
    <row r="67" spans="1:13" ht="50.1" customHeight="1" x14ac:dyDescent="0.2">
      <c r="A67" s="5" t="s">
        <v>779</v>
      </c>
      <c r="B67" s="5" t="s">
        <v>376</v>
      </c>
      <c r="C67" s="5" t="s">
        <v>781</v>
      </c>
      <c r="D67" s="5" t="s">
        <v>3165</v>
      </c>
      <c r="E67" s="8">
        <v>1</v>
      </c>
      <c r="F67" s="5" t="s">
        <v>132</v>
      </c>
      <c r="G67" s="5" t="s">
        <v>668</v>
      </c>
      <c r="H67" s="5" t="s">
        <v>780</v>
      </c>
      <c r="I67" s="5"/>
      <c r="J67" s="5"/>
      <c r="K67" s="5" t="s">
        <v>3105</v>
      </c>
      <c r="L67" s="5" t="s">
        <v>276</v>
      </c>
      <c r="M67" s="5" t="s">
        <v>851</v>
      </c>
    </row>
    <row r="68" spans="1:13" ht="50.1" customHeight="1" x14ac:dyDescent="0.2">
      <c r="A68" s="5" t="s">
        <v>784</v>
      </c>
      <c r="B68" s="5" t="s">
        <v>785</v>
      </c>
      <c r="C68" s="5" t="s">
        <v>787</v>
      </c>
      <c r="D68" s="5" t="s">
        <v>3166</v>
      </c>
      <c r="E68" s="8">
        <v>1</v>
      </c>
      <c r="F68" s="5" t="s">
        <v>132</v>
      </c>
      <c r="G68" s="5" t="s">
        <v>668</v>
      </c>
      <c r="H68" s="5" t="s">
        <v>786</v>
      </c>
      <c r="I68" s="5"/>
      <c r="J68" s="5"/>
      <c r="K68" s="5" t="s">
        <v>3105</v>
      </c>
      <c r="L68" s="5" t="s">
        <v>276</v>
      </c>
      <c r="M68" s="5" t="s">
        <v>851</v>
      </c>
    </row>
    <row r="69" spans="1:13" ht="50.1" customHeight="1" x14ac:dyDescent="0.2">
      <c r="A69" s="5" t="s">
        <v>792</v>
      </c>
      <c r="B69" s="5" t="s">
        <v>793</v>
      </c>
      <c r="C69" s="5" t="s">
        <v>795</v>
      </c>
      <c r="D69" s="5" t="s">
        <v>3167</v>
      </c>
      <c r="E69" s="8">
        <v>1</v>
      </c>
      <c r="F69" s="5" t="s">
        <v>132</v>
      </c>
      <c r="G69" s="5" t="s">
        <v>668</v>
      </c>
      <c r="H69" s="5" t="s">
        <v>794</v>
      </c>
      <c r="I69" s="5"/>
      <c r="J69" s="5"/>
      <c r="K69" s="5" t="s">
        <v>3105</v>
      </c>
      <c r="L69" s="5" t="s">
        <v>276</v>
      </c>
      <c r="M69" s="5" t="s">
        <v>851</v>
      </c>
    </row>
    <row r="70" spans="1:13" ht="50.1" customHeight="1" x14ac:dyDescent="0.2">
      <c r="A70" s="5" t="s">
        <v>799</v>
      </c>
      <c r="B70" s="5" t="s">
        <v>595</v>
      </c>
      <c r="C70" s="5" t="s">
        <v>801</v>
      </c>
      <c r="D70" s="5" t="s">
        <v>3168</v>
      </c>
      <c r="E70" s="8">
        <v>1</v>
      </c>
      <c r="F70" s="5" t="s">
        <v>132</v>
      </c>
      <c r="G70" s="5" t="s">
        <v>668</v>
      </c>
      <c r="H70" s="5" t="s">
        <v>800</v>
      </c>
      <c r="I70" s="5"/>
      <c r="J70" s="5"/>
      <c r="K70" s="5" t="s">
        <v>3105</v>
      </c>
      <c r="L70" s="5" t="s">
        <v>276</v>
      </c>
      <c r="M70" s="5" t="s">
        <v>851</v>
      </c>
    </row>
    <row r="71" spans="1:13" ht="50.1" customHeight="1" x14ac:dyDescent="0.2">
      <c r="A71" s="5" t="s">
        <v>804</v>
      </c>
      <c r="B71" s="5" t="s">
        <v>698</v>
      </c>
      <c r="C71" s="5" t="s">
        <v>806</v>
      </c>
      <c r="D71" s="5" t="s">
        <v>3169</v>
      </c>
      <c r="E71" s="8">
        <v>1</v>
      </c>
      <c r="F71" s="5" t="s">
        <v>132</v>
      </c>
      <c r="G71" s="5" t="s">
        <v>668</v>
      </c>
      <c r="H71" s="5" t="s">
        <v>805</v>
      </c>
      <c r="I71" s="5"/>
      <c r="J71" s="5"/>
      <c r="K71" s="5" t="s">
        <v>3105</v>
      </c>
      <c r="L71" s="5" t="s">
        <v>276</v>
      </c>
      <c r="M71" s="5" t="s">
        <v>851</v>
      </c>
    </row>
    <row r="72" spans="1:13" ht="50.1" customHeight="1" x14ac:dyDescent="0.2">
      <c r="A72" s="5" t="s">
        <v>809</v>
      </c>
      <c r="B72" s="5" t="s">
        <v>810</v>
      </c>
      <c r="C72" s="5" t="s">
        <v>812</v>
      </c>
      <c r="D72" s="5" t="s">
        <v>3170</v>
      </c>
      <c r="E72" s="8">
        <v>1</v>
      </c>
      <c r="F72" s="5" t="s">
        <v>132</v>
      </c>
      <c r="G72" s="5" t="s">
        <v>668</v>
      </c>
      <c r="H72" s="5" t="s">
        <v>811</v>
      </c>
      <c r="I72" s="5"/>
      <c r="J72" s="5"/>
      <c r="K72" s="5" t="s">
        <v>3105</v>
      </c>
      <c r="L72" s="5" t="s">
        <v>276</v>
      </c>
      <c r="M72" s="5" t="s">
        <v>851</v>
      </c>
    </row>
    <row r="73" spans="1:13" ht="50.1" customHeight="1" x14ac:dyDescent="0.2">
      <c r="A73" s="5" t="s">
        <v>817</v>
      </c>
      <c r="B73" s="5" t="s">
        <v>818</v>
      </c>
      <c r="C73" s="5" t="s">
        <v>820</v>
      </c>
      <c r="D73" s="5" t="s">
        <v>3171</v>
      </c>
      <c r="E73" s="8">
        <v>1</v>
      </c>
      <c r="F73" s="5" t="s">
        <v>132</v>
      </c>
      <c r="G73" s="5" t="s">
        <v>668</v>
      </c>
      <c r="H73" s="5" t="s">
        <v>819</v>
      </c>
      <c r="I73" s="5"/>
      <c r="J73" s="5"/>
      <c r="K73" s="5" t="s">
        <v>3105</v>
      </c>
      <c r="L73" s="5" t="s">
        <v>276</v>
      </c>
      <c r="M73" s="5" t="s">
        <v>851</v>
      </c>
    </row>
    <row r="74" spans="1:13" ht="50.1" customHeight="1" x14ac:dyDescent="0.2">
      <c r="A74" s="5" t="s">
        <v>824</v>
      </c>
      <c r="B74" s="5" t="s">
        <v>412</v>
      </c>
      <c r="C74" s="5" t="s">
        <v>826</v>
      </c>
      <c r="D74" s="5" t="s">
        <v>3172</v>
      </c>
      <c r="E74" s="8">
        <v>1</v>
      </c>
      <c r="F74" s="5" t="s">
        <v>132</v>
      </c>
      <c r="G74" s="5" t="s">
        <v>668</v>
      </c>
      <c r="H74" s="5" t="s">
        <v>825</v>
      </c>
      <c r="I74" s="5"/>
      <c r="J74" s="5"/>
      <c r="K74" s="5" t="s">
        <v>3105</v>
      </c>
      <c r="L74" s="5" t="s">
        <v>276</v>
      </c>
      <c r="M74" s="5" t="s">
        <v>851</v>
      </c>
    </row>
    <row r="75" spans="1:13" ht="50.1" customHeight="1" x14ac:dyDescent="0.2">
      <c r="A75" s="5" t="s">
        <v>829</v>
      </c>
      <c r="B75" s="5" t="s">
        <v>830</v>
      </c>
      <c r="C75" s="5" t="s">
        <v>832</v>
      </c>
      <c r="D75" s="5" t="s">
        <v>3173</v>
      </c>
      <c r="E75" s="8">
        <v>1</v>
      </c>
      <c r="F75" s="5" t="s">
        <v>132</v>
      </c>
      <c r="G75" s="5" t="s">
        <v>668</v>
      </c>
      <c r="H75" s="5" t="s">
        <v>831</v>
      </c>
      <c r="I75" s="5"/>
      <c r="J75" s="5"/>
      <c r="K75" s="5" t="s">
        <v>3105</v>
      </c>
      <c r="L75" s="5" t="s">
        <v>276</v>
      </c>
      <c r="M75" s="5" t="s">
        <v>851</v>
      </c>
    </row>
    <row r="76" spans="1:13" ht="50.1" customHeight="1" x14ac:dyDescent="0.2">
      <c r="A76" s="5" t="s">
        <v>837</v>
      </c>
      <c r="B76" s="5" t="s">
        <v>838</v>
      </c>
      <c r="C76" s="5" t="s">
        <v>840</v>
      </c>
      <c r="D76" s="5" t="s">
        <v>3174</v>
      </c>
      <c r="E76" s="8">
        <v>1</v>
      </c>
      <c r="F76" s="5" t="s">
        <v>132</v>
      </c>
      <c r="G76" s="5" t="s">
        <v>668</v>
      </c>
      <c r="H76" s="5" t="s">
        <v>839</v>
      </c>
      <c r="I76" s="5"/>
      <c r="J76" s="5"/>
      <c r="K76" s="5" t="s">
        <v>3105</v>
      </c>
      <c r="L76" s="5" t="s">
        <v>276</v>
      </c>
      <c r="M76" s="5" t="s">
        <v>851</v>
      </c>
    </row>
    <row r="77" spans="1:13" ht="50.1" customHeight="1" x14ac:dyDescent="0.2">
      <c r="A77" s="5" t="s">
        <v>844</v>
      </c>
      <c r="B77" s="5" t="s">
        <v>845</v>
      </c>
      <c r="C77" s="5" t="s">
        <v>847</v>
      </c>
      <c r="D77" s="5" t="s">
        <v>3175</v>
      </c>
      <c r="E77" s="8">
        <v>1</v>
      </c>
      <c r="F77" s="5" t="s">
        <v>132</v>
      </c>
      <c r="G77" s="5" t="s">
        <v>668</v>
      </c>
      <c r="H77" s="5" t="s">
        <v>846</v>
      </c>
      <c r="I77" s="5"/>
      <c r="J77" s="5"/>
      <c r="K77" s="5" t="s">
        <v>3105</v>
      </c>
      <c r="L77" s="5" t="s">
        <v>276</v>
      </c>
      <c r="M77" s="5" t="s">
        <v>851</v>
      </c>
    </row>
    <row r="78" spans="1:13" ht="50.1" customHeight="1" x14ac:dyDescent="0.2">
      <c r="A78" s="5" t="s">
        <v>852</v>
      </c>
      <c r="B78" s="5" t="s">
        <v>853</v>
      </c>
      <c r="C78" s="5" t="s">
        <v>855</v>
      </c>
      <c r="D78" s="5" t="s">
        <v>3176</v>
      </c>
      <c r="E78" s="8">
        <v>1</v>
      </c>
      <c r="F78" s="5" t="s">
        <v>132</v>
      </c>
      <c r="G78" s="5" t="s">
        <v>668</v>
      </c>
      <c r="H78" s="5" t="s">
        <v>854</v>
      </c>
      <c r="I78" s="5"/>
      <c r="J78" s="5"/>
      <c r="K78" s="5" t="s">
        <v>3105</v>
      </c>
      <c r="L78" s="5" t="s">
        <v>276</v>
      </c>
      <c r="M78" s="5" t="s">
        <v>851</v>
      </c>
    </row>
    <row r="79" spans="1:13" ht="50.1" customHeight="1" x14ac:dyDescent="0.2">
      <c r="A79" s="5" t="s">
        <v>858</v>
      </c>
      <c r="B79" s="5" t="s">
        <v>356</v>
      </c>
      <c r="C79" s="5" t="s">
        <v>860</v>
      </c>
      <c r="D79" s="5" t="s">
        <v>3177</v>
      </c>
      <c r="E79" s="8">
        <v>1</v>
      </c>
      <c r="F79" s="5" t="s">
        <v>132</v>
      </c>
      <c r="G79" s="5" t="s">
        <v>668</v>
      </c>
      <c r="H79" s="5" t="s">
        <v>859</v>
      </c>
      <c r="I79" s="5"/>
      <c r="J79" s="5"/>
      <c r="K79" s="5" t="s">
        <v>3105</v>
      </c>
      <c r="L79" s="5" t="s">
        <v>276</v>
      </c>
      <c r="M79" s="5" t="s">
        <v>851</v>
      </c>
    </row>
    <row r="80" spans="1:13" ht="50.1" customHeight="1" x14ac:dyDescent="0.2">
      <c r="A80" s="5" t="s">
        <v>863</v>
      </c>
      <c r="B80" s="5" t="s">
        <v>368</v>
      </c>
      <c r="C80" s="5" t="s">
        <v>865</v>
      </c>
      <c r="D80" s="5" t="s">
        <v>3178</v>
      </c>
      <c r="E80" s="8">
        <v>1</v>
      </c>
      <c r="F80" s="5" t="s">
        <v>132</v>
      </c>
      <c r="G80" s="5" t="s">
        <v>668</v>
      </c>
      <c r="H80" s="5" t="s">
        <v>864</v>
      </c>
      <c r="I80" s="5"/>
      <c r="J80" s="5"/>
      <c r="K80" s="5" t="s">
        <v>3105</v>
      </c>
      <c r="L80" s="5" t="s">
        <v>276</v>
      </c>
      <c r="M80" s="5" t="s">
        <v>851</v>
      </c>
    </row>
    <row r="81" spans="1:13" ht="50.1" customHeight="1" x14ac:dyDescent="0.2">
      <c r="A81" s="5" t="s">
        <v>868</v>
      </c>
      <c r="B81" s="5" t="s">
        <v>376</v>
      </c>
      <c r="C81" s="5" t="s">
        <v>870</v>
      </c>
      <c r="D81" s="5" t="s">
        <v>3179</v>
      </c>
      <c r="E81" s="8">
        <v>1</v>
      </c>
      <c r="F81" s="5" t="s">
        <v>132</v>
      </c>
      <c r="G81" s="5" t="s">
        <v>668</v>
      </c>
      <c r="H81" s="5" t="s">
        <v>869</v>
      </c>
      <c r="I81" s="5"/>
      <c r="J81" s="5"/>
      <c r="K81" s="5" t="s">
        <v>3105</v>
      </c>
      <c r="L81" s="5" t="s">
        <v>276</v>
      </c>
      <c r="M81" s="5" t="s">
        <v>851</v>
      </c>
    </row>
    <row r="82" spans="1:13" ht="50.1" customHeight="1" x14ac:dyDescent="0.2">
      <c r="A82" s="5" t="s">
        <v>873</v>
      </c>
      <c r="B82" s="5" t="s">
        <v>500</v>
      </c>
      <c r="C82" s="5" t="s">
        <v>875</v>
      </c>
      <c r="D82" s="5" t="s">
        <v>3180</v>
      </c>
      <c r="E82" s="8">
        <v>1</v>
      </c>
      <c r="F82" s="5" t="s">
        <v>132</v>
      </c>
      <c r="G82" s="5" t="s">
        <v>668</v>
      </c>
      <c r="H82" s="5" t="s">
        <v>874</v>
      </c>
      <c r="I82" s="5"/>
      <c r="J82" s="5"/>
      <c r="K82" s="5" t="s">
        <v>3105</v>
      </c>
      <c r="L82" s="5" t="s">
        <v>276</v>
      </c>
      <c r="M82" s="5" t="s">
        <v>851</v>
      </c>
    </row>
    <row r="83" spans="1:13" ht="50.1" customHeight="1" x14ac:dyDescent="0.2">
      <c r="A83" s="5" t="s">
        <v>878</v>
      </c>
      <c r="B83" s="5" t="s">
        <v>879</v>
      </c>
      <c r="C83" s="5" t="s">
        <v>881</v>
      </c>
      <c r="D83" s="5" t="s">
        <v>3181</v>
      </c>
      <c r="E83" s="8">
        <v>1</v>
      </c>
      <c r="F83" s="5" t="s">
        <v>132</v>
      </c>
      <c r="G83" s="5" t="s">
        <v>668</v>
      </c>
      <c r="H83" s="5" t="s">
        <v>880</v>
      </c>
      <c r="I83" s="5"/>
      <c r="J83" s="5"/>
      <c r="K83" s="5" t="s">
        <v>3105</v>
      </c>
      <c r="L83" s="5" t="s">
        <v>276</v>
      </c>
      <c r="M83" s="5" t="s">
        <v>851</v>
      </c>
    </row>
    <row r="84" spans="1:13" ht="50.1" customHeight="1" x14ac:dyDescent="0.2">
      <c r="A84" s="5" t="s">
        <v>886</v>
      </c>
      <c r="B84" s="5" t="s">
        <v>420</v>
      </c>
      <c r="C84" s="5" t="s">
        <v>888</v>
      </c>
      <c r="D84" s="5" t="s">
        <v>3182</v>
      </c>
      <c r="E84" s="8">
        <v>1</v>
      </c>
      <c r="F84" s="5" t="s">
        <v>132</v>
      </c>
      <c r="G84" s="5" t="s">
        <v>668</v>
      </c>
      <c r="H84" s="5" t="s">
        <v>887</v>
      </c>
      <c r="I84" s="5"/>
      <c r="J84" s="5"/>
      <c r="K84" s="5" t="s">
        <v>3105</v>
      </c>
      <c r="L84" s="5" t="s">
        <v>276</v>
      </c>
      <c r="M84" s="5" t="s">
        <v>851</v>
      </c>
    </row>
    <row r="85" spans="1:13" ht="50.1" customHeight="1" x14ac:dyDescent="0.2">
      <c r="A85" s="5" t="s">
        <v>891</v>
      </c>
      <c r="B85" s="5" t="s">
        <v>892</v>
      </c>
      <c r="C85" s="5" t="s">
        <v>894</v>
      </c>
      <c r="D85" s="5" t="s">
        <v>3183</v>
      </c>
      <c r="E85" s="8">
        <v>1</v>
      </c>
      <c r="F85" s="5" t="s">
        <v>132</v>
      </c>
      <c r="G85" s="5" t="s">
        <v>668</v>
      </c>
      <c r="H85" s="5" t="s">
        <v>893</v>
      </c>
      <c r="I85" s="5"/>
      <c r="J85" s="5"/>
      <c r="K85" s="5" t="s">
        <v>3105</v>
      </c>
      <c r="L85" s="5" t="s">
        <v>276</v>
      </c>
      <c r="M85" s="5" t="s">
        <v>851</v>
      </c>
    </row>
    <row r="86" spans="1:13" ht="50.1" customHeight="1" x14ac:dyDescent="0.2">
      <c r="A86" s="5" t="s">
        <v>899</v>
      </c>
      <c r="B86" s="5" t="s">
        <v>900</v>
      </c>
      <c r="C86" s="5" t="s">
        <v>902</v>
      </c>
      <c r="D86" s="5" t="s">
        <v>3184</v>
      </c>
      <c r="E86" s="8">
        <v>1</v>
      </c>
      <c r="F86" s="5" t="s">
        <v>132</v>
      </c>
      <c r="G86" s="5" t="s">
        <v>668</v>
      </c>
      <c r="H86" s="5" t="s">
        <v>901</v>
      </c>
      <c r="I86" s="5"/>
      <c r="J86" s="5"/>
      <c r="K86" s="5" t="s">
        <v>3105</v>
      </c>
      <c r="L86" s="5" t="s">
        <v>276</v>
      </c>
      <c r="M86" s="5" t="s">
        <v>851</v>
      </c>
    </row>
    <row r="87" spans="1:13" ht="50.1" customHeight="1" x14ac:dyDescent="0.2">
      <c r="A87" s="5" t="s">
        <v>907</v>
      </c>
      <c r="B87" s="5" t="s">
        <v>908</v>
      </c>
      <c r="C87" s="5" t="s">
        <v>910</v>
      </c>
      <c r="D87" s="5" t="s">
        <v>3185</v>
      </c>
      <c r="E87" s="8">
        <v>1</v>
      </c>
      <c r="F87" s="5" t="s">
        <v>132</v>
      </c>
      <c r="G87" s="5" t="s">
        <v>668</v>
      </c>
      <c r="H87" s="5" t="s">
        <v>909</v>
      </c>
      <c r="I87" s="5"/>
      <c r="J87" s="5"/>
      <c r="K87" s="5" t="s">
        <v>3105</v>
      </c>
      <c r="L87" s="5" t="s">
        <v>276</v>
      </c>
      <c r="M87" s="5" t="s">
        <v>851</v>
      </c>
    </row>
    <row r="88" spans="1:13" ht="50.1" customHeight="1" x14ac:dyDescent="0.2">
      <c r="A88" s="5" t="s">
        <v>915</v>
      </c>
      <c r="B88" s="5" t="s">
        <v>916</v>
      </c>
      <c r="C88" s="5" t="s">
        <v>918</v>
      </c>
      <c r="D88" s="5" t="s">
        <v>3186</v>
      </c>
      <c r="E88" s="8">
        <v>1</v>
      </c>
      <c r="F88" s="5" t="s">
        <v>132</v>
      </c>
      <c r="G88" s="5" t="s">
        <v>668</v>
      </c>
      <c r="H88" s="5" t="s">
        <v>917</v>
      </c>
      <c r="I88" s="5"/>
      <c r="J88" s="5"/>
      <c r="K88" s="5" t="s">
        <v>3105</v>
      </c>
      <c r="L88" s="5" t="s">
        <v>276</v>
      </c>
      <c r="M88" s="5" t="s">
        <v>851</v>
      </c>
    </row>
    <row r="89" spans="1:13" ht="50.1" customHeight="1" x14ac:dyDescent="0.2">
      <c r="A89" s="5" t="s">
        <v>923</v>
      </c>
      <c r="B89" s="5" t="s">
        <v>924</v>
      </c>
      <c r="C89" s="5" t="s">
        <v>926</v>
      </c>
      <c r="D89" s="5" t="s">
        <v>3187</v>
      </c>
      <c r="E89" s="8">
        <v>1</v>
      </c>
      <c r="F89" s="5" t="s">
        <v>132</v>
      </c>
      <c r="G89" s="5" t="s">
        <v>668</v>
      </c>
      <c r="H89" s="5" t="s">
        <v>925</v>
      </c>
      <c r="I89" s="5"/>
      <c r="J89" s="5"/>
      <c r="K89" s="5" t="s">
        <v>3105</v>
      </c>
      <c r="L89" s="5" t="s">
        <v>276</v>
      </c>
      <c r="M89" s="5" t="s">
        <v>851</v>
      </c>
    </row>
    <row r="90" spans="1:13" ht="50.1" customHeight="1" x14ac:dyDescent="0.2">
      <c r="A90" s="5" t="s">
        <v>931</v>
      </c>
      <c r="B90" s="5" t="s">
        <v>932</v>
      </c>
      <c r="C90" s="5" t="s">
        <v>934</v>
      </c>
      <c r="D90" s="5" t="s">
        <v>3188</v>
      </c>
      <c r="E90" s="8">
        <v>1</v>
      </c>
      <c r="F90" s="5" t="s">
        <v>132</v>
      </c>
      <c r="G90" s="5" t="s">
        <v>668</v>
      </c>
      <c r="H90" s="5" t="s">
        <v>933</v>
      </c>
      <c r="I90" s="5"/>
      <c r="J90" s="5"/>
      <c r="K90" s="5" t="s">
        <v>3105</v>
      </c>
      <c r="L90" s="5" t="s">
        <v>276</v>
      </c>
      <c r="M90" s="5" t="s">
        <v>851</v>
      </c>
    </row>
    <row r="91" spans="1:13" ht="50.1" customHeight="1" x14ac:dyDescent="0.2">
      <c r="A91" s="5" t="s">
        <v>937</v>
      </c>
      <c r="B91" s="5" t="s">
        <v>356</v>
      </c>
      <c r="C91" s="5" t="s">
        <v>939</v>
      </c>
      <c r="D91" s="5" t="s">
        <v>3189</v>
      </c>
      <c r="E91" s="8">
        <v>1</v>
      </c>
      <c r="F91" s="5" t="s">
        <v>132</v>
      </c>
      <c r="G91" s="5" t="s">
        <v>668</v>
      </c>
      <c r="H91" s="5" t="s">
        <v>938</v>
      </c>
      <c r="I91" s="5"/>
      <c r="J91" s="5"/>
      <c r="K91" s="5" t="s">
        <v>3105</v>
      </c>
      <c r="L91" s="5" t="s">
        <v>276</v>
      </c>
      <c r="M91" s="5" t="s">
        <v>851</v>
      </c>
    </row>
    <row r="92" spans="1:13" ht="50.1" customHeight="1" x14ac:dyDescent="0.2">
      <c r="A92" s="5" t="s">
        <v>942</v>
      </c>
      <c r="B92" s="5" t="s">
        <v>368</v>
      </c>
      <c r="C92" s="5" t="s">
        <v>944</v>
      </c>
      <c r="D92" s="5" t="s">
        <v>3190</v>
      </c>
      <c r="E92" s="8">
        <v>1</v>
      </c>
      <c r="F92" s="5" t="s">
        <v>132</v>
      </c>
      <c r="G92" s="5" t="s">
        <v>668</v>
      </c>
      <c r="H92" s="5" t="s">
        <v>943</v>
      </c>
      <c r="I92" s="5"/>
      <c r="J92" s="5"/>
      <c r="K92" s="5" t="s">
        <v>3105</v>
      </c>
      <c r="L92" s="5" t="s">
        <v>276</v>
      </c>
      <c r="M92" s="5" t="s">
        <v>851</v>
      </c>
    </row>
    <row r="93" spans="1:13" ht="50.1" customHeight="1" x14ac:dyDescent="0.2">
      <c r="A93" s="5" t="s">
        <v>947</v>
      </c>
      <c r="B93" s="5" t="s">
        <v>376</v>
      </c>
      <c r="C93" s="5" t="s">
        <v>949</v>
      </c>
      <c r="D93" s="5" t="s">
        <v>3191</v>
      </c>
      <c r="E93" s="8">
        <v>1</v>
      </c>
      <c r="F93" s="5" t="s">
        <v>132</v>
      </c>
      <c r="G93" s="5" t="s">
        <v>668</v>
      </c>
      <c r="H93" s="5" t="s">
        <v>948</v>
      </c>
      <c r="I93" s="5"/>
      <c r="J93" s="5"/>
      <c r="K93" s="5" t="s">
        <v>3105</v>
      </c>
      <c r="L93" s="5" t="s">
        <v>276</v>
      </c>
      <c r="M93" s="5" t="s">
        <v>851</v>
      </c>
    </row>
    <row r="94" spans="1:13" ht="50.1" customHeight="1" x14ac:dyDescent="0.2">
      <c r="A94" s="5" t="s">
        <v>952</v>
      </c>
      <c r="B94" s="5" t="s">
        <v>500</v>
      </c>
      <c r="C94" s="5" t="s">
        <v>954</v>
      </c>
      <c r="D94" s="5" t="s">
        <v>3192</v>
      </c>
      <c r="E94" s="8">
        <v>1</v>
      </c>
      <c r="F94" s="5" t="s">
        <v>132</v>
      </c>
      <c r="G94" s="5" t="s">
        <v>668</v>
      </c>
      <c r="H94" s="5" t="s">
        <v>953</v>
      </c>
      <c r="I94" s="5"/>
      <c r="J94" s="5"/>
      <c r="K94" s="5" t="s">
        <v>3105</v>
      </c>
      <c r="L94" s="5" t="s">
        <v>276</v>
      </c>
      <c r="M94" s="5" t="s">
        <v>851</v>
      </c>
    </row>
    <row r="95" spans="1:13" ht="50.1" customHeight="1" x14ac:dyDescent="0.2">
      <c r="A95" s="5" t="s">
        <v>957</v>
      </c>
      <c r="B95" s="5" t="s">
        <v>958</v>
      </c>
      <c r="C95" s="5" t="s">
        <v>960</v>
      </c>
      <c r="D95" s="5" t="s">
        <v>3193</v>
      </c>
      <c r="E95" s="8">
        <v>1</v>
      </c>
      <c r="F95" s="5" t="s">
        <v>132</v>
      </c>
      <c r="G95" s="5" t="s">
        <v>668</v>
      </c>
      <c r="H95" s="5" t="s">
        <v>959</v>
      </c>
      <c r="I95" s="5"/>
      <c r="J95" s="5"/>
      <c r="K95" s="5" t="s">
        <v>3105</v>
      </c>
      <c r="L95" s="5" t="s">
        <v>276</v>
      </c>
      <c r="M95" s="5" t="s">
        <v>851</v>
      </c>
    </row>
    <row r="96" spans="1:13" ht="50.1" customHeight="1" x14ac:dyDescent="0.2">
      <c r="A96" s="5" t="s">
        <v>965</v>
      </c>
      <c r="B96" s="5" t="s">
        <v>966</v>
      </c>
      <c r="C96" s="5" t="s">
        <v>968</v>
      </c>
      <c r="D96" s="5" t="s">
        <v>3194</v>
      </c>
      <c r="E96" s="8">
        <v>1</v>
      </c>
      <c r="F96" s="5" t="s">
        <v>132</v>
      </c>
      <c r="G96" s="5" t="s">
        <v>668</v>
      </c>
      <c r="H96" s="5" t="s">
        <v>967</v>
      </c>
      <c r="I96" s="5"/>
      <c r="J96" s="5"/>
      <c r="K96" s="5" t="s">
        <v>3105</v>
      </c>
      <c r="L96" s="5" t="s">
        <v>276</v>
      </c>
      <c r="M96" s="5" t="s">
        <v>851</v>
      </c>
    </row>
    <row r="97" spans="1:13" ht="50.1" customHeight="1" x14ac:dyDescent="0.2">
      <c r="A97" s="5" t="s">
        <v>973</v>
      </c>
      <c r="B97" s="5" t="s">
        <v>974</v>
      </c>
      <c r="C97" s="5" t="s">
        <v>976</v>
      </c>
      <c r="D97" s="5" t="s">
        <v>3195</v>
      </c>
      <c r="E97" s="8">
        <v>1</v>
      </c>
      <c r="F97" s="5" t="s">
        <v>132</v>
      </c>
      <c r="G97" s="5" t="s">
        <v>668</v>
      </c>
      <c r="H97" s="5" t="s">
        <v>975</v>
      </c>
      <c r="I97" s="5"/>
      <c r="J97" s="5"/>
      <c r="K97" s="5" t="s">
        <v>3105</v>
      </c>
      <c r="L97" s="5" t="s">
        <v>276</v>
      </c>
      <c r="M97" s="5" t="s">
        <v>851</v>
      </c>
    </row>
    <row r="98" spans="1:13" ht="50.1" customHeight="1" x14ac:dyDescent="0.2">
      <c r="A98" s="5" t="s">
        <v>980</v>
      </c>
      <c r="B98" s="5" t="s">
        <v>981</v>
      </c>
      <c r="C98" s="5" t="s">
        <v>983</v>
      </c>
      <c r="D98" s="5" t="s">
        <v>3196</v>
      </c>
      <c r="E98" s="8">
        <v>1</v>
      </c>
      <c r="F98" s="5" t="s">
        <v>132</v>
      </c>
      <c r="G98" s="5" t="s">
        <v>668</v>
      </c>
      <c r="H98" s="5" t="s">
        <v>982</v>
      </c>
      <c r="I98" s="5"/>
      <c r="J98" s="5"/>
      <c r="K98" s="5" t="s">
        <v>3105</v>
      </c>
      <c r="L98" s="5" t="s">
        <v>276</v>
      </c>
      <c r="M98" s="5" t="s">
        <v>851</v>
      </c>
    </row>
    <row r="99" spans="1:13" ht="50.1" customHeight="1" x14ac:dyDescent="0.2">
      <c r="A99" s="5" t="s">
        <v>988</v>
      </c>
      <c r="B99" s="5" t="s">
        <v>989</v>
      </c>
      <c r="C99" s="5" t="s">
        <v>991</v>
      </c>
      <c r="D99" s="5" t="s">
        <v>3197</v>
      </c>
      <c r="E99" s="8">
        <v>1</v>
      </c>
      <c r="F99" s="5" t="s">
        <v>132</v>
      </c>
      <c r="G99" s="5" t="s">
        <v>668</v>
      </c>
      <c r="H99" s="5" t="s">
        <v>990</v>
      </c>
      <c r="I99" s="5"/>
      <c r="J99" s="5"/>
      <c r="K99" s="5" t="s">
        <v>3105</v>
      </c>
      <c r="L99" s="5" t="s">
        <v>276</v>
      </c>
      <c r="M99" s="5" t="s">
        <v>851</v>
      </c>
    </row>
    <row r="100" spans="1:13" ht="50.1" customHeight="1" x14ac:dyDescent="0.2">
      <c r="A100" s="5" t="s">
        <v>996</v>
      </c>
      <c r="B100" s="5" t="s">
        <v>997</v>
      </c>
      <c r="C100" s="5" t="s">
        <v>999</v>
      </c>
      <c r="D100" s="5" t="s">
        <v>3198</v>
      </c>
      <c r="E100" s="8">
        <v>1</v>
      </c>
      <c r="F100" s="5" t="s">
        <v>132</v>
      </c>
      <c r="G100" s="5" t="s">
        <v>668</v>
      </c>
      <c r="H100" s="5" t="s">
        <v>998</v>
      </c>
      <c r="I100" s="5"/>
      <c r="J100" s="5"/>
      <c r="K100" s="5" t="s">
        <v>3105</v>
      </c>
      <c r="L100" s="5" t="s">
        <v>276</v>
      </c>
      <c r="M100" s="5" t="s">
        <v>851</v>
      </c>
    </row>
    <row r="101" spans="1:13" ht="50.1" customHeight="1" x14ac:dyDescent="0.2">
      <c r="A101" s="5" t="s">
        <v>1004</v>
      </c>
      <c r="B101" s="5" t="s">
        <v>1005</v>
      </c>
      <c r="C101" s="5" t="s">
        <v>1007</v>
      </c>
      <c r="D101" s="5" t="s">
        <v>3199</v>
      </c>
      <c r="E101" s="8">
        <v>1</v>
      </c>
      <c r="F101" s="5" t="s">
        <v>132</v>
      </c>
      <c r="G101" s="5" t="s">
        <v>668</v>
      </c>
      <c r="H101" s="5" t="s">
        <v>1006</v>
      </c>
      <c r="I101" s="5"/>
      <c r="J101" s="5"/>
      <c r="K101" s="5" t="s">
        <v>3105</v>
      </c>
      <c r="L101" s="5" t="s">
        <v>276</v>
      </c>
      <c r="M101" s="5" t="s">
        <v>851</v>
      </c>
    </row>
    <row r="102" spans="1:13" ht="50.1" customHeight="1" x14ac:dyDescent="0.2">
      <c r="A102" s="5" t="s">
        <v>1012</v>
      </c>
      <c r="B102" s="5" t="s">
        <v>1013</v>
      </c>
      <c r="C102" s="5" t="s">
        <v>1015</v>
      </c>
      <c r="D102" s="5" t="s">
        <v>3200</v>
      </c>
      <c r="E102" s="8">
        <v>1</v>
      </c>
      <c r="F102" s="5" t="s">
        <v>132</v>
      </c>
      <c r="G102" s="5" t="s">
        <v>668</v>
      </c>
      <c r="H102" s="5" t="s">
        <v>1014</v>
      </c>
      <c r="I102" s="5"/>
      <c r="J102" s="5"/>
      <c r="K102" s="5" t="s">
        <v>3105</v>
      </c>
      <c r="L102" s="5" t="s">
        <v>276</v>
      </c>
      <c r="M102" s="5" t="s">
        <v>851</v>
      </c>
    </row>
    <row r="103" spans="1:13" ht="50.1" customHeight="1" x14ac:dyDescent="0.2">
      <c r="A103" s="5" t="s">
        <v>1018</v>
      </c>
      <c r="B103" s="5" t="s">
        <v>356</v>
      </c>
      <c r="C103" s="5" t="s">
        <v>1020</v>
      </c>
      <c r="D103" s="5" t="s">
        <v>3201</v>
      </c>
      <c r="E103" s="8">
        <v>1</v>
      </c>
      <c r="F103" s="5" t="s">
        <v>132</v>
      </c>
      <c r="G103" s="5" t="s">
        <v>668</v>
      </c>
      <c r="H103" s="5" t="s">
        <v>1019</v>
      </c>
      <c r="I103" s="5"/>
      <c r="J103" s="5"/>
      <c r="K103" s="5" t="s">
        <v>3105</v>
      </c>
      <c r="L103" s="5" t="s">
        <v>276</v>
      </c>
      <c r="M103" s="5" t="s">
        <v>851</v>
      </c>
    </row>
    <row r="104" spans="1:13" ht="50.1" customHeight="1" x14ac:dyDescent="0.2">
      <c r="A104" s="5" t="s">
        <v>1023</v>
      </c>
      <c r="B104" s="5" t="s">
        <v>368</v>
      </c>
      <c r="C104" s="5" t="s">
        <v>1025</v>
      </c>
      <c r="D104" s="5" t="s">
        <v>3202</v>
      </c>
      <c r="E104" s="8">
        <v>1</v>
      </c>
      <c r="F104" s="5" t="s">
        <v>132</v>
      </c>
      <c r="G104" s="5" t="s">
        <v>668</v>
      </c>
      <c r="H104" s="5" t="s">
        <v>1024</v>
      </c>
      <c r="I104" s="5"/>
      <c r="J104" s="5"/>
      <c r="K104" s="5" t="s">
        <v>3105</v>
      </c>
      <c r="L104" s="5" t="s">
        <v>276</v>
      </c>
      <c r="M104" s="5" t="s">
        <v>851</v>
      </c>
    </row>
    <row r="105" spans="1:13" ht="50.1" customHeight="1" x14ac:dyDescent="0.2">
      <c r="A105" s="5" t="s">
        <v>1028</v>
      </c>
      <c r="B105" s="5" t="s">
        <v>376</v>
      </c>
      <c r="C105" s="5" t="s">
        <v>1030</v>
      </c>
      <c r="D105" s="5" t="s">
        <v>3203</v>
      </c>
      <c r="E105" s="8">
        <v>1</v>
      </c>
      <c r="F105" s="5" t="s">
        <v>132</v>
      </c>
      <c r="G105" s="5" t="s">
        <v>668</v>
      </c>
      <c r="H105" s="5" t="s">
        <v>1029</v>
      </c>
      <c r="I105" s="5"/>
      <c r="J105" s="5"/>
      <c r="K105" s="5" t="s">
        <v>3105</v>
      </c>
      <c r="L105" s="5" t="s">
        <v>276</v>
      </c>
      <c r="M105" s="5" t="s">
        <v>851</v>
      </c>
    </row>
    <row r="106" spans="1:13" ht="50.1" customHeight="1" x14ac:dyDescent="0.2">
      <c r="A106" s="5" t="s">
        <v>1033</v>
      </c>
      <c r="B106" s="5" t="s">
        <v>500</v>
      </c>
      <c r="C106" s="5" t="s">
        <v>1035</v>
      </c>
      <c r="D106" s="5" t="s">
        <v>3204</v>
      </c>
      <c r="E106" s="8">
        <v>1</v>
      </c>
      <c r="F106" s="5" t="s">
        <v>132</v>
      </c>
      <c r="G106" s="5" t="s">
        <v>668</v>
      </c>
      <c r="H106" s="5" t="s">
        <v>1034</v>
      </c>
      <c r="I106" s="5"/>
      <c r="J106" s="5"/>
      <c r="K106" s="5" t="s">
        <v>3105</v>
      </c>
      <c r="L106" s="5" t="s">
        <v>276</v>
      </c>
      <c r="M106" s="5" t="s">
        <v>851</v>
      </c>
    </row>
    <row r="107" spans="1:13" ht="50.1" customHeight="1" x14ac:dyDescent="0.2">
      <c r="A107" s="5" t="s">
        <v>1038</v>
      </c>
      <c r="B107" s="5" t="s">
        <v>1039</v>
      </c>
      <c r="C107" s="5" t="s">
        <v>1041</v>
      </c>
      <c r="D107" s="5" t="s">
        <v>3205</v>
      </c>
      <c r="E107" s="8">
        <v>1</v>
      </c>
      <c r="F107" s="5" t="s">
        <v>132</v>
      </c>
      <c r="G107" s="5" t="s">
        <v>668</v>
      </c>
      <c r="H107" s="5" t="s">
        <v>1040</v>
      </c>
      <c r="I107" s="5"/>
      <c r="J107" s="5"/>
      <c r="K107" s="5" t="s">
        <v>3105</v>
      </c>
      <c r="L107" s="5" t="s">
        <v>276</v>
      </c>
      <c r="M107" s="5" t="s">
        <v>851</v>
      </c>
    </row>
    <row r="108" spans="1:13" ht="50.1" customHeight="1" x14ac:dyDescent="0.2">
      <c r="A108" s="5" t="s">
        <v>1046</v>
      </c>
      <c r="B108" s="5" t="s">
        <v>1047</v>
      </c>
      <c r="C108" s="5" t="s">
        <v>1049</v>
      </c>
      <c r="D108" s="5" t="s">
        <v>3206</v>
      </c>
      <c r="E108" s="8">
        <v>1</v>
      </c>
      <c r="F108" s="5" t="s">
        <v>132</v>
      </c>
      <c r="G108" s="5" t="s">
        <v>668</v>
      </c>
      <c r="H108" s="5" t="s">
        <v>1048</v>
      </c>
      <c r="I108" s="5"/>
      <c r="J108" s="5"/>
      <c r="K108" s="5" t="s">
        <v>3105</v>
      </c>
      <c r="L108" s="5" t="s">
        <v>276</v>
      </c>
      <c r="M108" s="5" t="s">
        <v>851</v>
      </c>
    </row>
    <row r="109" spans="1:13" ht="50.1" customHeight="1" x14ac:dyDescent="0.2">
      <c r="A109" s="5" t="s">
        <v>1054</v>
      </c>
      <c r="B109" s="5" t="s">
        <v>1055</v>
      </c>
      <c r="C109" s="5" t="s">
        <v>1057</v>
      </c>
      <c r="D109" s="5" t="s">
        <v>3207</v>
      </c>
      <c r="E109" s="8">
        <v>1</v>
      </c>
      <c r="F109" s="5" t="s">
        <v>132</v>
      </c>
      <c r="G109" s="5" t="s">
        <v>668</v>
      </c>
      <c r="H109" s="5" t="s">
        <v>1056</v>
      </c>
      <c r="I109" s="5"/>
      <c r="J109" s="5"/>
      <c r="K109" s="5" t="s">
        <v>3105</v>
      </c>
      <c r="L109" s="5" t="s">
        <v>276</v>
      </c>
      <c r="M109" s="5" t="s">
        <v>851</v>
      </c>
    </row>
    <row r="110" spans="1:13" ht="50.1" customHeight="1" x14ac:dyDescent="0.2">
      <c r="A110" s="5" t="s">
        <v>1062</v>
      </c>
      <c r="B110" s="5" t="s">
        <v>1063</v>
      </c>
      <c r="C110" s="5" t="s">
        <v>1065</v>
      </c>
      <c r="D110" s="5" t="s">
        <v>3208</v>
      </c>
      <c r="E110" s="8">
        <v>1</v>
      </c>
      <c r="F110" s="5" t="s">
        <v>132</v>
      </c>
      <c r="G110" s="5" t="s">
        <v>668</v>
      </c>
      <c r="H110" s="5" t="s">
        <v>1064</v>
      </c>
      <c r="I110" s="5"/>
      <c r="J110" s="5"/>
      <c r="K110" s="5" t="s">
        <v>3105</v>
      </c>
      <c r="L110" s="5" t="s">
        <v>276</v>
      </c>
      <c r="M110" s="5" t="s">
        <v>851</v>
      </c>
    </row>
    <row r="111" spans="1:13" ht="50.1" customHeight="1" x14ac:dyDescent="0.2">
      <c r="A111" s="5" t="s">
        <v>1070</v>
      </c>
      <c r="B111" s="5" t="s">
        <v>1071</v>
      </c>
      <c r="C111" s="5" t="s">
        <v>1073</v>
      </c>
      <c r="D111" s="5" t="s">
        <v>3209</v>
      </c>
      <c r="E111" s="8">
        <v>1</v>
      </c>
      <c r="F111" s="5" t="s">
        <v>132</v>
      </c>
      <c r="G111" s="5" t="s">
        <v>668</v>
      </c>
      <c r="H111" s="5" t="s">
        <v>1072</v>
      </c>
      <c r="I111" s="5"/>
      <c r="J111" s="5"/>
      <c r="K111" s="5" t="s">
        <v>3105</v>
      </c>
      <c r="L111" s="5" t="s">
        <v>276</v>
      </c>
      <c r="M111" s="5" t="s">
        <v>851</v>
      </c>
    </row>
    <row r="112" spans="1:13" ht="50.1" customHeight="1" x14ac:dyDescent="0.2">
      <c r="A112" s="5" t="s">
        <v>1078</v>
      </c>
      <c r="B112" s="5" t="s">
        <v>1079</v>
      </c>
      <c r="C112" s="5" t="s">
        <v>1081</v>
      </c>
      <c r="D112" s="5" t="s">
        <v>3210</v>
      </c>
      <c r="E112" s="8">
        <v>1</v>
      </c>
      <c r="F112" s="5" t="s">
        <v>132</v>
      </c>
      <c r="G112" s="5" t="s">
        <v>668</v>
      </c>
      <c r="H112" s="5" t="s">
        <v>1080</v>
      </c>
      <c r="I112" s="5"/>
      <c r="J112" s="5"/>
      <c r="K112" s="5" t="s">
        <v>3105</v>
      </c>
      <c r="L112" s="5" t="s">
        <v>276</v>
      </c>
      <c r="M112" s="5" t="s">
        <v>851</v>
      </c>
    </row>
    <row r="113" spans="1:13" ht="50.1" customHeight="1" x14ac:dyDescent="0.2">
      <c r="A113" s="5" t="s">
        <v>1086</v>
      </c>
      <c r="B113" s="5" t="s">
        <v>1087</v>
      </c>
      <c r="C113" s="5" t="s">
        <v>1089</v>
      </c>
      <c r="D113" s="5" t="s">
        <v>3211</v>
      </c>
      <c r="E113" s="8">
        <v>1</v>
      </c>
      <c r="F113" s="5" t="s">
        <v>132</v>
      </c>
      <c r="G113" s="5" t="s">
        <v>668</v>
      </c>
      <c r="H113" s="5" t="s">
        <v>1088</v>
      </c>
      <c r="I113" s="5"/>
      <c r="J113" s="5"/>
      <c r="K113" s="5" t="s">
        <v>3105</v>
      </c>
      <c r="L113" s="5" t="s">
        <v>276</v>
      </c>
      <c r="M113" s="5" t="s">
        <v>851</v>
      </c>
    </row>
    <row r="114" spans="1:13" ht="50.1" customHeight="1" x14ac:dyDescent="0.2">
      <c r="A114" s="5" t="s">
        <v>1093</v>
      </c>
      <c r="B114" s="5" t="s">
        <v>1094</v>
      </c>
      <c r="C114" s="5" t="s">
        <v>1096</v>
      </c>
      <c r="D114" s="5" t="s">
        <v>3212</v>
      </c>
      <c r="E114" s="8">
        <v>1</v>
      </c>
      <c r="F114" s="5" t="s">
        <v>132</v>
      </c>
      <c r="G114" s="5" t="s">
        <v>668</v>
      </c>
      <c r="H114" s="5" t="s">
        <v>1095</v>
      </c>
      <c r="I114" s="5"/>
      <c r="J114" s="5"/>
      <c r="K114" s="5" t="s">
        <v>3105</v>
      </c>
      <c r="L114" s="5" t="s">
        <v>276</v>
      </c>
      <c r="M114" s="5" t="s">
        <v>851</v>
      </c>
    </row>
    <row r="115" spans="1:13" ht="50.1" customHeight="1" x14ac:dyDescent="0.2">
      <c r="A115" s="5" t="s">
        <v>1098</v>
      </c>
      <c r="B115" s="5" t="s">
        <v>356</v>
      </c>
      <c r="C115" s="5" t="s">
        <v>1100</v>
      </c>
      <c r="D115" s="5" t="s">
        <v>3213</v>
      </c>
      <c r="E115" s="8">
        <v>1</v>
      </c>
      <c r="F115" s="5" t="s">
        <v>132</v>
      </c>
      <c r="G115" s="5" t="s">
        <v>668</v>
      </c>
      <c r="H115" s="5" t="s">
        <v>1099</v>
      </c>
      <c r="I115" s="5"/>
      <c r="J115" s="5"/>
      <c r="K115" s="5" t="s">
        <v>3105</v>
      </c>
      <c r="L115" s="5" t="s">
        <v>276</v>
      </c>
      <c r="M115" s="5" t="s">
        <v>851</v>
      </c>
    </row>
    <row r="116" spans="1:13" ht="50.1" customHeight="1" x14ac:dyDescent="0.2">
      <c r="A116" s="5" t="s">
        <v>1103</v>
      </c>
      <c r="B116" s="5" t="s">
        <v>368</v>
      </c>
      <c r="C116" s="5" t="s">
        <v>1105</v>
      </c>
      <c r="D116" s="5" t="s">
        <v>3214</v>
      </c>
      <c r="E116" s="8">
        <v>1</v>
      </c>
      <c r="F116" s="5" t="s">
        <v>132</v>
      </c>
      <c r="G116" s="5" t="s">
        <v>668</v>
      </c>
      <c r="H116" s="5" t="s">
        <v>1104</v>
      </c>
      <c r="I116" s="5"/>
      <c r="J116" s="5"/>
      <c r="K116" s="5" t="s">
        <v>3105</v>
      </c>
      <c r="L116" s="5" t="s">
        <v>276</v>
      </c>
      <c r="M116" s="5" t="s">
        <v>851</v>
      </c>
    </row>
    <row r="117" spans="1:13" ht="50.1" customHeight="1" x14ac:dyDescent="0.2">
      <c r="A117" s="5" t="s">
        <v>1108</v>
      </c>
      <c r="B117" s="5" t="s">
        <v>376</v>
      </c>
      <c r="C117" s="5" t="s">
        <v>1110</v>
      </c>
      <c r="D117" s="5" t="s">
        <v>3215</v>
      </c>
      <c r="E117" s="8">
        <v>1</v>
      </c>
      <c r="F117" s="5" t="s">
        <v>132</v>
      </c>
      <c r="G117" s="5" t="s">
        <v>668</v>
      </c>
      <c r="H117" s="5" t="s">
        <v>1109</v>
      </c>
      <c r="I117" s="5"/>
      <c r="J117" s="5"/>
      <c r="K117" s="5" t="s">
        <v>3105</v>
      </c>
      <c r="L117" s="5" t="s">
        <v>276</v>
      </c>
      <c r="M117" s="5" t="s">
        <v>851</v>
      </c>
    </row>
    <row r="118" spans="1:13" ht="50.1" customHeight="1" x14ac:dyDescent="0.2">
      <c r="A118" s="5" t="s">
        <v>1113</v>
      </c>
      <c r="B118" s="5" t="s">
        <v>500</v>
      </c>
      <c r="C118" s="5" t="s">
        <v>1115</v>
      </c>
      <c r="D118" s="5" t="s">
        <v>3216</v>
      </c>
      <c r="E118" s="8">
        <v>1</v>
      </c>
      <c r="F118" s="5" t="s">
        <v>132</v>
      </c>
      <c r="G118" s="5" t="s">
        <v>668</v>
      </c>
      <c r="H118" s="5" t="s">
        <v>1114</v>
      </c>
      <c r="I118" s="5"/>
      <c r="J118" s="5"/>
      <c r="K118" s="5" t="s">
        <v>3105</v>
      </c>
      <c r="L118" s="5" t="s">
        <v>276</v>
      </c>
      <c r="M118" s="5" t="s">
        <v>851</v>
      </c>
    </row>
    <row r="119" spans="1:13" ht="50.1" customHeight="1" x14ac:dyDescent="0.2">
      <c r="A119" s="5" t="s">
        <v>1118</v>
      </c>
      <c r="B119" s="5" t="s">
        <v>1119</v>
      </c>
      <c r="C119" s="5" t="s">
        <v>1121</v>
      </c>
      <c r="D119" s="5" t="s">
        <v>3217</v>
      </c>
      <c r="E119" s="8">
        <v>1</v>
      </c>
      <c r="F119" s="5" t="s">
        <v>132</v>
      </c>
      <c r="G119" s="5" t="s">
        <v>668</v>
      </c>
      <c r="H119" s="5" t="s">
        <v>1120</v>
      </c>
      <c r="I119" s="5"/>
      <c r="J119" s="5"/>
      <c r="K119" s="5" t="s">
        <v>3105</v>
      </c>
      <c r="L119" s="5" t="s">
        <v>276</v>
      </c>
      <c r="M119" s="5" t="s">
        <v>851</v>
      </c>
    </row>
    <row r="120" spans="1:13" ht="50.1" customHeight="1" x14ac:dyDescent="0.2">
      <c r="A120" s="5" t="s">
        <v>1126</v>
      </c>
      <c r="B120" s="5" t="s">
        <v>1127</v>
      </c>
      <c r="C120" s="5" t="s">
        <v>1129</v>
      </c>
      <c r="D120" s="5" t="s">
        <v>3218</v>
      </c>
      <c r="E120" s="8">
        <v>1</v>
      </c>
      <c r="F120" s="5" t="s">
        <v>132</v>
      </c>
      <c r="G120" s="5" t="s">
        <v>668</v>
      </c>
      <c r="H120" s="5" t="s">
        <v>1128</v>
      </c>
      <c r="I120" s="5"/>
      <c r="J120" s="5"/>
      <c r="K120" s="5" t="s">
        <v>3105</v>
      </c>
      <c r="L120" s="5" t="s">
        <v>276</v>
      </c>
      <c r="M120" s="5" t="s">
        <v>851</v>
      </c>
    </row>
    <row r="121" spans="1:13" ht="50.1" customHeight="1" x14ac:dyDescent="0.2">
      <c r="A121" s="5" t="s">
        <v>1134</v>
      </c>
      <c r="B121" s="5" t="s">
        <v>1135</v>
      </c>
      <c r="C121" s="5" t="s">
        <v>1137</v>
      </c>
      <c r="D121" s="5" t="s">
        <v>3219</v>
      </c>
      <c r="E121" s="8">
        <v>1</v>
      </c>
      <c r="F121" s="5" t="s">
        <v>132</v>
      </c>
      <c r="G121" s="5" t="s">
        <v>668</v>
      </c>
      <c r="H121" s="5" t="s">
        <v>1136</v>
      </c>
      <c r="I121" s="5"/>
      <c r="J121" s="5"/>
      <c r="K121" s="5" t="s">
        <v>3105</v>
      </c>
      <c r="L121" s="5" t="s">
        <v>276</v>
      </c>
      <c r="M121" s="5" t="s">
        <v>851</v>
      </c>
    </row>
    <row r="122" spans="1:13" ht="50.1" customHeight="1" x14ac:dyDescent="0.2">
      <c r="A122" s="5" t="s">
        <v>1142</v>
      </c>
      <c r="B122" s="5" t="s">
        <v>1143</v>
      </c>
      <c r="C122" s="5" t="s">
        <v>1145</v>
      </c>
      <c r="D122" s="5" t="s">
        <v>3220</v>
      </c>
      <c r="E122" s="8">
        <v>1</v>
      </c>
      <c r="F122" s="5" t="s">
        <v>132</v>
      </c>
      <c r="G122" s="5" t="s">
        <v>668</v>
      </c>
      <c r="H122" s="5" t="s">
        <v>1144</v>
      </c>
      <c r="I122" s="5"/>
      <c r="J122" s="5"/>
      <c r="K122" s="5" t="s">
        <v>3105</v>
      </c>
      <c r="L122" s="5" t="s">
        <v>276</v>
      </c>
      <c r="M122" s="5" t="s">
        <v>851</v>
      </c>
    </row>
    <row r="123" spans="1:13" ht="50.1" customHeight="1" x14ac:dyDescent="0.2">
      <c r="A123" s="5" t="s">
        <v>1150</v>
      </c>
      <c r="B123" s="5" t="s">
        <v>1151</v>
      </c>
      <c r="C123" s="5" t="s">
        <v>1153</v>
      </c>
      <c r="D123" s="5" t="s">
        <v>3221</v>
      </c>
      <c r="E123" s="8">
        <v>1</v>
      </c>
      <c r="F123" s="5" t="s">
        <v>132</v>
      </c>
      <c r="G123" s="5" t="s">
        <v>668</v>
      </c>
      <c r="H123" s="5" t="s">
        <v>1152</v>
      </c>
      <c r="I123" s="5"/>
      <c r="J123" s="5"/>
      <c r="K123" s="5" t="s">
        <v>3105</v>
      </c>
      <c r="L123" s="5" t="s">
        <v>276</v>
      </c>
      <c r="M123" s="5" t="s">
        <v>851</v>
      </c>
    </row>
    <row r="124" spans="1:13" ht="50.1" customHeight="1" x14ac:dyDescent="0.2">
      <c r="A124" s="5" t="s">
        <v>1158</v>
      </c>
      <c r="B124" s="5" t="s">
        <v>1159</v>
      </c>
      <c r="C124" s="5" t="s">
        <v>1161</v>
      </c>
      <c r="D124" s="5" t="s">
        <v>3222</v>
      </c>
      <c r="E124" s="8">
        <v>1</v>
      </c>
      <c r="F124" s="5" t="s">
        <v>132</v>
      </c>
      <c r="G124" s="5" t="s">
        <v>668</v>
      </c>
      <c r="H124" s="5" t="s">
        <v>1160</v>
      </c>
      <c r="I124" s="5"/>
      <c r="J124" s="5"/>
      <c r="K124" s="5" t="s">
        <v>3105</v>
      </c>
      <c r="L124" s="5" t="s">
        <v>276</v>
      </c>
      <c r="M124" s="5" t="s">
        <v>851</v>
      </c>
    </row>
    <row r="125" spans="1:13" ht="50.1" customHeight="1" x14ac:dyDescent="0.2">
      <c r="A125" s="5" t="s">
        <v>1166</v>
      </c>
      <c r="B125" s="5" t="s">
        <v>1167</v>
      </c>
      <c r="C125" s="5" t="s">
        <v>1169</v>
      </c>
      <c r="D125" s="5" t="s">
        <v>3223</v>
      </c>
      <c r="E125" s="8">
        <v>1</v>
      </c>
      <c r="F125" s="5" t="s">
        <v>132</v>
      </c>
      <c r="G125" s="5" t="s">
        <v>668</v>
      </c>
      <c r="H125" s="5" t="s">
        <v>1168</v>
      </c>
      <c r="I125" s="5"/>
      <c r="J125" s="5"/>
      <c r="K125" s="5" t="s">
        <v>3105</v>
      </c>
      <c r="L125" s="5" t="s">
        <v>276</v>
      </c>
      <c r="M125" s="5" t="s">
        <v>851</v>
      </c>
    </row>
    <row r="126" spans="1:13" ht="50.1" customHeight="1" x14ac:dyDescent="0.2">
      <c r="A126" s="5" t="s">
        <v>1173</v>
      </c>
      <c r="B126" s="5" t="s">
        <v>1174</v>
      </c>
      <c r="C126" s="5" t="s">
        <v>1176</v>
      </c>
      <c r="D126" s="5" t="s">
        <v>3224</v>
      </c>
      <c r="E126" s="8">
        <v>1</v>
      </c>
      <c r="F126" s="5" t="s">
        <v>132</v>
      </c>
      <c r="G126" s="5" t="s">
        <v>668</v>
      </c>
      <c r="H126" s="5" t="s">
        <v>1175</v>
      </c>
      <c r="I126" s="5"/>
      <c r="J126" s="5"/>
      <c r="K126" s="5" t="s">
        <v>3105</v>
      </c>
      <c r="L126" s="5" t="s">
        <v>276</v>
      </c>
      <c r="M126" s="5" t="s">
        <v>851</v>
      </c>
    </row>
    <row r="127" spans="1:13" ht="50.1" customHeight="1" x14ac:dyDescent="0.2">
      <c r="A127" s="5" t="s">
        <v>1178</v>
      </c>
      <c r="B127" s="5" t="s">
        <v>356</v>
      </c>
      <c r="C127" s="5" t="s">
        <v>1180</v>
      </c>
      <c r="D127" s="5" t="s">
        <v>3225</v>
      </c>
      <c r="E127" s="8">
        <v>1</v>
      </c>
      <c r="F127" s="5" t="s">
        <v>132</v>
      </c>
      <c r="G127" s="5" t="s">
        <v>668</v>
      </c>
      <c r="H127" s="5" t="s">
        <v>1179</v>
      </c>
      <c r="I127" s="5"/>
      <c r="J127" s="5"/>
      <c r="K127" s="5" t="s">
        <v>3105</v>
      </c>
      <c r="L127" s="5" t="s">
        <v>276</v>
      </c>
      <c r="M127" s="5" t="s">
        <v>851</v>
      </c>
    </row>
    <row r="128" spans="1:13" ht="50.1" customHeight="1" x14ac:dyDescent="0.2">
      <c r="A128" s="5" t="s">
        <v>1183</v>
      </c>
      <c r="B128" s="5" t="s">
        <v>368</v>
      </c>
      <c r="C128" s="5" t="s">
        <v>1185</v>
      </c>
      <c r="D128" s="5" t="s">
        <v>3226</v>
      </c>
      <c r="E128" s="8">
        <v>1</v>
      </c>
      <c r="F128" s="5" t="s">
        <v>132</v>
      </c>
      <c r="G128" s="5" t="s">
        <v>668</v>
      </c>
      <c r="H128" s="5" t="s">
        <v>1184</v>
      </c>
      <c r="I128" s="5"/>
      <c r="J128" s="5"/>
      <c r="K128" s="5" t="s">
        <v>3105</v>
      </c>
      <c r="L128" s="5" t="s">
        <v>276</v>
      </c>
      <c r="M128" s="5" t="s">
        <v>851</v>
      </c>
    </row>
    <row r="129" spans="1:13" ht="50.1" customHeight="1" x14ac:dyDescent="0.2">
      <c r="A129" s="5" t="s">
        <v>1188</v>
      </c>
      <c r="B129" s="5" t="s">
        <v>376</v>
      </c>
      <c r="C129" s="5" t="s">
        <v>1190</v>
      </c>
      <c r="D129" s="5" t="s">
        <v>3227</v>
      </c>
      <c r="E129" s="8">
        <v>1</v>
      </c>
      <c r="F129" s="5" t="s">
        <v>132</v>
      </c>
      <c r="G129" s="5" t="s">
        <v>668</v>
      </c>
      <c r="H129" s="5" t="s">
        <v>1189</v>
      </c>
      <c r="I129" s="5"/>
      <c r="J129" s="5"/>
      <c r="K129" s="5" t="s">
        <v>3105</v>
      </c>
      <c r="L129" s="5" t="s">
        <v>276</v>
      </c>
      <c r="M129" s="5" t="s">
        <v>851</v>
      </c>
    </row>
    <row r="130" spans="1:13" ht="50.1" customHeight="1" x14ac:dyDescent="0.2">
      <c r="A130" s="5" t="s">
        <v>1193</v>
      </c>
      <c r="B130" s="5" t="s">
        <v>500</v>
      </c>
      <c r="C130" s="5" t="s">
        <v>1195</v>
      </c>
      <c r="D130" s="5" t="s">
        <v>3228</v>
      </c>
      <c r="E130" s="8">
        <v>1</v>
      </c>
      <c r="F130" s="5" t="s">
        <v>132</v>
      </c>
      <c r="G130" s="5" t="s">
        <v>668</v>
      </c>
      <c r="H130" s="5" t="s">
        <v>1194</v>
      </c>
      <c r="I130" s="5"/>
      <c r="J130" s="5"/>
      <c r="K130" s="5" t="s">
        <v>3105</v>
      </c>
      <c r="L130" s="5" t="s">
        <v>276</v>
      </c>
      <c r="M130" s="5" t="s">
        <v>851</v>
      </c>
    </row>
    <row r="131" spans="1:13" ht="50.1" customHeight="1" x14ac:dyDescent="0.2">
      <c r="A131" s="5" t="s">
        <v>1198</v>
      </c>
      <c r="B131" s="5" t="s">
        <v>1199</v>
      </c>
      <c r="C131" s="5" t="s">
        <v>1201</v>
      </c>
      <c r="D131" s="5" t="s">
        <v>3229</v>
      </c>
      <c r="E131" s="8">
        <v>1</v>
      </c>
      <c r="F131" s="5" t="s">
        <v>132</v>
      </c>
      <c r="G131" s="5" t="s">
        <v>668</v>
      </c>
      <c r="H131" s="5" t="s">
        <v>1200</v>
      </c>
      <c r="I131" s="5"/>
      <c r="J131" s="5"/>
      <c r="K131" s="5" t="s">
        <v>3105</v>
      </c>
      <c r="L131" s="5" t="s">
        <v>276</v>
      </c>
      <c r="M131" s="5" t="s">
        <v>851</v>
      </c>
    </row>
    <row r="132" spans="1:13" ht="50.1" customHeight="1" x14ac:dyDescent="0.2">
      <c r="A132" s="5" t="s">
        <v>1206</v>
      </c>
      <c r="B132" s="5" t="s">
        <v>1207</v>
      </c>
      <c r="C132" s="5" t="s">
        <v>1209</v>
      </c>
      <c r="D132" s="5" t="s">
        <v>3230</v>
      </c>
      <c r="E132" s="8">
        <v>1</v>
      </c>
      <c r="F132" s="5" t="s">
        <v>132</v>
      </c>
      <c r="G132" s="5" t="s">
        <v>668</v>
      </c>
      <c r="H132" s="5" t="s">
        <v>1208</v>
      </c>
      <c r="I132" s="5"/>
      <c r="J132" s="5"/>
      <c r="K132" s="5" t="s">
        <v>3105</v>
      </c>
      <c r="L132" s="5" t="s">
        <v>276</v>
      </c>
      <c r="M132" s="5" t="s">
        <v>851</v>
      </c>
    </row>
    <row r="133" spans="1:13" ht="50.1" customHeight="1" x14ac:dyDescent="0.2">
      <c r="A133" s="5" t="s">
        <v>1214</v>
      </c>
      <c r="B133" s="5" t="s">
        <v>1215</v>
      </c>
      <c r="C133" s="5" t="s">
        <v>1217</v>
      </c>
      <c r="D133" s="5" t="s">
        <v>3231</v>
      </c>
      <c r="E133" s="8">
        <v>1</v>
      </c>
      <c r="F133" s="5" t="s">
        <v>132</v>
      </c>
      <c r="G133" s="5" t="s">
        <v>668</v>
      </c>
      <c r="H133" s="5" t="s">
        <v>1216</v>
      </c>
      <c r="I133" s="5"/>
      <c r="J133" s="5"/>
      <c r="K133" s="5" t="s">
        <v>3105</v>
      </c>
      <c r="L133" s="5" t="s">
        <v>276</v>
      </c>
      <c r="M133" s="5" t="s">
        <v>851</v>
      </c>
    </row>
    <row r="134" spans="1:13" ht="50.1" customHeight="1" x14ac:dyDescent="0.2">
      <c r="A134" s="5" t="s">
        <v>1222</v>
      </c>
      <c r="B134" s="5" t="s">
        <v>1223</v>
      </c>
      <c r="C134" s="5" t="s">
        <v>1225</v>
      </c>
      <c r="D134" s="5" t="s">
        <v>3232</v>
      </c>
      <c r="E134" s="8">
        <v>1</v>
      </c>
      <c r="F134" s="5" t="s">
        <v>132</v>
      </c>
      <c r="G134" s="5" t="s">
        <v>668</v>
      </c>
      <c r="H134" s="5" t="s">
        <v>1224</v>
      </c>
      <c r="I134" s="5"/>
      <c r="J134" s="5"/>
      <c r="K134" s="5" t="s">
        <v>3105</v>
      </c>
      <c r="L134" s="5" t="s">
        <v>276</v>
      </c>
      <c r="M134" s="5" t="s">
        <v>851</v>
      </c>
    </row>
    <row r="135" spans="1:13" ht="50.1" customHeight="1" x14ac:dyDescent="0.2">
      <c r="A135" s="5" t="s">
        <v>1230</v>
      </c>
      <c r="B135" s="5" t="s">
        <v>1231</v>
      </c>
      <c r="C135" s="5" t="s">
        <v>1233</v>
      </c>
      <c r="D135" s="5" t="s">
        <v>3233</v>
      </c>
      <c r="E135" s="8">
        <v>1</v>
      </c>
      <c r="F135" s="5" t="s">
        <v>132</v>
      </c>
      <c r="G135" s="5" t="s">
        <v>668</v>
      </c>
      <c r="H135" s="5" t="s">
        <v>1232</v>
      </c>
      <c r="I135" s="5"/>
      <c r="J135" s="5"/>
      <c r="K135" s="5" t="s">
        <v>3105</v>
      </c>
      <c r="L135" s="5" t="s">
        <v>276</v>
      </c>
      <c r="M135" s="5" t="s">
        <v>851</v>
      </c>
    </row>
    <row r="136" spans="1:13" ht="50.1" customHeight="1" x14ac:dyDescent="0.2">
      <c r="A136" s="5" t="s">
        <v>1238</v>
      </c>
      <c r="B136" s="5" t="s">
        <v>1239</v>
      </c>
      <c r="C136" s="5" t="s">
        <v>1241</v>
      </c>
      <c r="D136" s="5" t="s">
        <v>3234</v>
      </c>
      <c r="E136" s="8">
        <v>1</v>
      </c>
      <c r="F136" s="5" t="s">
        <v>132</v>
      </c>
      <c r="G136" s="5" t="s">
        <v>668</v>
      </c>
      <c r="H136" s="5" t="s">
        <v>1240</v>
      </c>
      <c r="I136" s="5"/>
      <c r="J136" s="5"/>
      <c r="K136" s="5" t="s">
        <v>3105</v>
      </c>
      <c r="L136" s="5" t="s">
        <v>276</v>
      </c>
      <c r="M136" s="5" t="s">
        <v>851</v>
      </c>
    </row>
    <row r="137" spans="1:13" ht="50.1" customHeight="1" x14ac:dyDescent="0.2">
      <c r="A137" s="5" t="s">
        <v>1245</v>
      </c>
      <c r="B137" s="5" t="s">
        <v>1246</v>
      </c>
      <c r="C137" s="5" t="s">
        <v>1248</v>
      </c>
      <c r="D137" s="5" t="s">
        <v>3235</v>
      </c>
      <c r="E137" s="8">
        <v>1</v>
      </c>
      <c r="F137" s="5" t="s">
        <v>132</v>
      </c>
      <c r="G137" s="5" t="s">
        <v>668</v>
      </c>
      <c r="H137" s="5" t="s">
        <v>1247</v>
      </c>
      <c r="I137" s="5"/>
      <c r="J137" s="5"/>
      <c r="K137" s="5" t="s">
        <v>3105</v>
      </c>
      <c r="L137" s="5" t="s">
        <v>276</v>
      </c>
      <c r="M137" s="5" t="s">
        <v>851</v>
      </c>
    </row>
    <row r="138" spans="1:13" ht="50.1" customHeight="1" x14ac:dyDescent="0.2">
      <c r="A138" s="5" t="s">
        <v>1252</v>
      </c>
      <c r="B138" s="5" t="s">
        <v>1253</v>
      </c>
      <c r="C138" s="5" t="s">
        <v>1255</v>
      </c>
      <c r="D138" s="5" t="s">
        <v>3236</v>
      </c>
      <c r="E138" s="8">
        <v>1</v>
      </c>
      <c r="F138" s="5" t="s">
        <v>132</v>
      </c>
      <c r="G138" s="5" t="s">
        <v>668</v>
      </c>
      <c r="H138" s="5" t="s">
        <v>1254</v>
      </c>
      <c r="I138" s="5"/>
      <c r="J138" s="5"/>
      <c r="K138" s="5" t="s">
        <v>3105</v>
      </c>
      <c r="L138" s="5" t="s">
        <v>276</v>
      </c>
      <c r="M138" s="5" t="s">
        <v>851</v>
      </c>
    </row>
    <row r="139" spans="1:13" ht="72" customHeight="1" x14ac:dyDescent="0.2">
      <c r="A139" s="5" t="s">
        <v>1260</v>
      </c>
      <c r="B139" s="5" t="s">
        <v>1261</v>
      </c>
      <c r="C139" s="5" t="s">
        <v>1263</v>
      </c>
      <c r="D139" s="5" t="s">
        <v>3237</v>
      </c>
      <c r="E139" s="8">
        <v>1</v>
      </c>
      <c r="F139" s="5" t="s">
        <v>132</v>
      </c>
      <c r="G139" s="5" t="s">
        <v>668</v>
      </c>
      <c r="H139" s="5" t="s">
        <v>1262</v>
      </c>
      <c r="I139" s="5"/>
      <c r="J139" s="5"/>
      <c r="K139" s="5" t="s">
        <v>3105</v>
      </c>
      <c r="L139" s="5" t="s">
        <v>276</v>
      </c>
      <c r="M139" s="5" t="s">
        <v>851</v>
      </c>
    </row>
    <row r="140" spans="1:13" ht="50.1" customHeight="1" x14ac:dyDescent="0.2">
      <c r="A140" s="5" t="s">
        <v>1268</v>
      </c>
      <c r="B140" s="5" t="s">
        <v>1269</v>
      </c>
      <c r="C140" s="5" t="s">
        <v>1271</v>
      </c>
      <c r="D140" s="5" t="s">
        <v>3238</v>
      </c>
      <c r="E140" s="8">
        <v>1</v>
      </c>
      <c r="F140" s="5" t="s">
        <v>132</v>
      </c>
      <c r="G140" s="5" t="s">
        <v>668</v>
      </c>
      <c r="H140" s="5" t="s">
        <v>1270</v>
      </c>
      <c r="I140" s="5"/>
      <c r="J140" s="5"/>
      <c r="K140" s="5" t="s">
        <v>3105</v>
      </c>
      <c r="L140" s="5" t="s">
        <v>276</v>
      </c>
      <c r="M140" s="5" t="s">
        <v>851</v>
      </c>
    </row>
    <row r="141" spans="1:13" ht="50.1" customHeight="1" x14ac:dyDescent="0.2">
      <c r="A141" s="5" t="s">
        <v>1274</v>
      </c>
      <c r="B141" s="5" t="s">
        <v>356</v>
      </c>
      <c r="C141" s="5" t="s">
        <v>1276</v>
      </c>
      <c r="D141" s="5" t="s">
        <v>3239</v>
      </c>
      <c r="E141" s="8">
        <v>1</v>
      </c>
      <c r="F141" s="5" t="s">
        <v>132</v>
      </c>
      <c r="G141" s="5" t="s">
        <v>668</v>
      </c>
      <c r="H141" s="5" t="s">
        <v>1275</v>
      </c>
      <c r="I141" s="5"/>
      <c r="J141" s="5"/>
      <c r="K141" s="5" t="s">
        <v>3105</v>
      </c>
      <c r="L141" s="5" t="s">
        <v>276</v>
      </c>
      <c r="M141" s="5" t="s">
        <v>851</v>
      </c>
    </row>
    <row r="142" spans="1:13" ht="50.1" customHeight="1" x14ac:dyDescent="0.2">
      <c r="A142" s="5" t="s">
        <v>1279</v>
      </c>
      <c r="B142" s="5" t="s">
        <v>368</v>
      </c>
      <c r="C142" s="5" t="s">
        <v>1281</v>
      </c>
      <c r="D142" s="5" t="s">
        <v>3240</v>
      </c>
      <c r="E142" s="8">
        <v>1</v>
      </c>
      <c r="F142" s="5" t="s">
        <v>132</v>
      </c>
      <c r="G142" s="5" t="s">
        <v>668</v>
      </c>
      <c r="H142" s="5" t="s">
        <v>1280</v>
      </c>
      <c r="I142" s="5"/>
      <c r="J142" s="5"/>
      <c r="K142" s="5" t="s">
        <v>3105</v>
      </c>
      <c r="L142" s="5" t="s">
        <v>276</v>
      </c>
      <c r="M142" s="5" t="s">
        <v>851</v>
      </c>
    </row>
    <row r="143" spans="1:13" ht="50.1" customHeight="1" x14ac:dyDescent="0.2">
      <c r="A143" s="5" t="s">
        <v>1284</v>
      </c>
      <c r="B143" s="5" t="s">
        <v>376</v>
      </c>
      <c r="C143" s="5" t="s">
        <v>1286</v>
      </c>
      <c r="D143" s="5" t="s">
        <v>3241</v>
      </c>
      <c r="E143" s="8">
        <v>1</v>
      </c>
      <c r="F143" s="5" t="s">
        <v>132</v>
      </c>
      <c r="G143" s="5" t="s">
        <v>668</v>
      </c>
      <c r="H143" s="5" t="s">
        <v>1285</v>
      </c>
      <c r="I143" s="5"/>
      <c r="J143" s="5"/>
      <c r="K143" s="5" t="s">
        <v>3105</v>
      </c>
      <c r="L143" s="5" t="s">
        <v>276</v>
      </c>
      <c r="M143" s="5" t="s">
        <v>851</v>
      </c>
    </row>
    <row r="144" spans="1:13" ht="50.1" customHeight="1" x14ac:dyDescent="0.2">
      <c r="A144" s="5" t="s">
        <v>1289</v>
      </c>
      <c r="B144" s="5" t="s">
        <v>500</v>
      </c>
      <c r="C144" s="5" t="s">
        <v>1291</v>
      </c>
      <c r="D144" s="5" t="s">
        <v>3242</v>
      </c>
      <c r="E144" s="8">
        <v>1</v>
      </c>
      <c r="F144" s="5" t="s">
        <v>132</v>
      </c>
      <c r="G144" s="5" t="s">
        <v>668</v>
      </c>
      <c r="H144" s="5" t="s">
        <v>1290</v>
      </c>
      <c r="I144" s="5"/>
      <c r="J144" s="5"/>
      <c r="K144" s="5" t="s">
        <v>3105</v>
      </c>
      <c r="L144" s="5" t="s">
        <v>276</v>
      </c>
      <c r="M144" s="5" t="s">
        <v>851</v>
      </c>
    </row>
    <row r="145" spans="1:13" ht="50.1" customHeight="1" x14ac:dyDescent="0.2">
      <c r="A145" s="5" t="s">
        <v>1294</v>
      </c>
      <c r="B145" s="5" t="s">
        <v>1295</v>
      </c>
      <c r="C145" s="5" t="s">
        <v>1297</v>
      </c>
      <c r="D145" s="5" t="s">
        <v>3243</v>
      </c>
      <c r="E145" s="8">
        <v>1</v>
      </c>
      <c r="F145" s="5" t="s">
        <v>132</v>
      </c>
      <c r="G145" s="5" t="s">
        <v>668</v>
      </c>
      <c r="H145" s="5" t="s">
        <v>1296</v>
      </c>
      <c r="I145" s="5"/>
      <c r="J145" s="5"/>
      <c r="K145" s="5" t="s">
        <v>3105</v>
      </c>
      <c r="L145" s="5" t="s">
        <v>276</v>
      </c>
      <c r="M145" s="5" t="s">
        <v>851</v>
      </c>
    </row>
    <row r="146" spans="1:13" ht="50.1" customHeight="1" x14ac:dyDescent="0.2">
      <c r="A146" s="5" t="s">
        <v>1302</v>
      </c>
      <c r="B146" s="5" t="s">
        <v>420</v>
      </c>
      <c r="C146" s="5" t="s">
        <v>1304</v>
      </c>
      <c r="D146" s="5" t="s">
        <v>3244</v>
      </c>
      <c r="E146" s="8">
        <v>1</v>
      </c>
      <c r="F146" s="5" t="s">
        <v>132</v>
      </c>
      <c r="G146" s="5" t="s">
        <v>668</v>
      </c>
      <c r="H146" s="5" t="s">
        <v>1303</v>
      </c>
      <c r="I146" s="5"/>
      <c r="J146" s="5"/>
      <c r="K146" s="5" t="s">
        <v>3105</v>
      </c>
      <c r="L146" s="5" t="s">
        <v>276</v>
      </c>
      <c r="M146" s="5" t="s">
        <v>851</v>
      </c>
    </row>
    <row r="147" spans="1:13" ht="50.1" customHeight="1" x14ac:dyDescent="0.2">
      <c r="A147" s="5" t="s">
        <v>1307</v>
      </c>
      <c r="B147" s="5" t="s">
        <v>1308</v>
      </c>
      <c r="C147" s="5" t="s">
        <v>1310</v>
      </c>
      <c r="D147" s="5" t="s">
        <v>3245</v>
      </c>
      <c r="E147" s="8">
        <v>1</v>
      </c>
      <c r="F147" s="5" t="s">
        <v>132</v>
      </c>
      <c r="G147" s="5" t="s">
        <v>668</v>
      </c>
      <c r="H147" s="5" t="s">
        <v>1309</v>
      </c>
      <c r="I147" s="5"/>
      <c r="J147" s="5"/>
      <c r="K147" s="5" t="s">
        <v>3105</v>
      </c>
      <c r="L147" s="5" t="s">
        <v>276</v>
      </c>
      <c r="M147" s="5" t="s">
        <v>851</v>
      </c>
    </row>
    <row r="148" spans="1:13" ht="50.1" customHeight="1" x14ac:dyDescent="0.2">
      <c r="A148" s="5" t="s">
        <v>1314</v>
      </c>
      <c r="B148" s="5" t="s">
        <v>1315</v>
      </c>
      <c r="C148" s="5" t="s">
        <v>1317</v>
      </c>
      <c r="D148" s="5" t="s">
        <v>3246</v>
      </c>
      <c r="E148" s="8">
        <v>1</v>
      </c>
      <c r="F148" s="5" t="s">
        <v>132</v>
      </c>
      <c r="G148" s="5" t="s">
        <v>668</v>
      </c>
      <c r="H148" s="5" t="s">
        <v>1316</v>
      </c>
      <c r="I148" s="5"/>
      <c r="J148" s="5"/>
      <c r="K148" s="5" t="s">
        <v>3105</v>
      </c>
      <c r="L148" s="5" t="s">
        <v>276</v>
      </c>
      <c r="M148" s="5" t="s">
        <v>851</v>
      </c>
    </row>
    <row r="149" spans="1:13" ht="50.1" customHeight="1" x14ac:dyDescent="0.2">
      <c r="A149" s="5" t="s">
        <v>1322</v>
      </c>
      <c r="B149" s="5" t="s">
        <v>1323</v>
      </c>
      <c r="C149" s="5" t="s">
        <v>1325</v>
      </c>
      <c r="D149" s="5" t="s">
        <v>3247</v>
      </c>
      <c r="E149" s="8">
        <v>1</v>
      </c>
      <c r="F149" s="5" t="s">
        <v>132</v>
      </c>
      <c r="G149" s="5" t="s">
        <v>668</v>
      </c>
      <c r="H149" s="5" t="s">
        <v>1324</v>
      </c>
      <c r="I149" s="5"/>
      <c r="J149" s="5"/>
      <c r="K149" s="5" t="s">
        <v>3105</v>
      </c>
      <c r="L149" s="5" t="s">
        <v>276</v>
      </c>
      <c r="M149" s="5" t="s">
        <v>851</v>
      </c>
    </row>
    <row r="150" spans="1:13" ht="50.1" customHeight="1" x14ac:dyDescent="0.2">
      <c r="A150" s="5" t="s">
        <v>1330</v>
      </c>
      <c r="B150" s="5" t="s">
        <v>1331</v>
      </c>
      <c r="C150" s="5" t="s">
        <v>1333</v>
      </c>
      <c r="D150" s="5" t="s">
        <v>3248</v>
      </c>
      <c r="E150" s="8">
        <v>1</v>
      </c>
      <c r="F150" s="5" t="s">
        <v>132</v>
      </c>
      <c r="G150" s="5" t="s">
        <v>668</v>
      </c>
      <c r="H150" s="5" t="s">
        <v>1332</v>
      </c>
      <c r="I150" s="5"/>
      <c r="J150" s="5"/>
      <c r="K150" s="5" t="s">
        <v>3105</v>
      </c>
      <c r="L150" s="5" t="s">
        <v>276</v>
      </c>
      <c r="M150" s="5" t="s">
        <v>851</v>
      </c>
    </row>
    <row r="151" spans="1:13" ht="50.1" customHeight="1" x14ac:dyDescent="0.2">
      <c r="A151" s="5" t="s">
        <v>1338</v>
      </c>
      <c r="B151" s="5" t="s">
        <v>1339</v>
      </c>
      <c r="C151" s="5" t="s">
        <v>1341</v>
      </c>
      <c r="D151" s="5" t="s">
        <v>3249</v>
      </c>
      <c r="E151" s="8">
        <v>1</v>
      </c>
      <c r="F151" s="5" t="s">
        <v>132</v>
      </c>
      <c r="G151" s="5" t="s">
        <v>668</v>
      </c>
      <c r="H151" s="5" t="s">
        <v>1340</v>
      </c>
      <c r="I151" s="5"/>
      <c r="J151" s="5"/>
      <c r="K151" s="5" t="s">
        <v>3105</v>
      </c>
      <c r="L151" s="5" t="s">
        <v>276</v>
      </c>
      <c r="M151" s="5" t="s">
        <v>851</v>
      </c>
    </row>
    <row r="152" spans="1:13" ht="50.1" customHeight="1" x14ac:dyDescent="0.2">
      <c r="A152" s="5" t="s">
        <v>1346</v>
      </c>
      <c r="B152" s="5" t="s">
        <v>1347</v>
      </c>
      <c r="C152" s="5" t="s">
        <v>1349</v>
      </c>
      <c r="D152" s="5" t="s">
        <v>3250</v>
      </c>
      <c r="E152" s="8">
        <v>1</v>
      </c>
      <c r="F152" s="5" t="s">
        <v>132</v>
      </c>
      <c r="G152" s="5" t="s">
        <v>668</v>
      </c>
      <c r="H152" s="5" t="s">
        <v>1348</v>
      </c>
      <c r="I152" s="5"/>
      <c r="J152" s="5"/>
      <c r="K152" s="5" t="s">
        <v>3105</v>
      </c>
      <c r="L152" s="5" t="s">
        <v>276</v>
      </c>
      <c r="M152" s="5" t="s">
        <v>851</v>
      </c>
    </row>
    <row r="153" spans="1:13" ht="50.1" customHeight="1" x14ac:dyDescent="0.2">
      <c r="A153" s="5" t="s">
        <v>1352</v>
      </c>
      <c r="B153" s="5" t="s">
        <v>356</v>
      </c>
      <c r="C153" s="5" t="s">
        <v>1354</v>
      </c>
      <c r="D153" s="5" t="s">
        <v>3251</v>
      </c>
      <c r="E153" s="8">
        <v>1</v>
      </c>
      <c r="F153" s="5" t="s">
        <v>132</v>
      </c>
      <c r="G153" s="5" t="s">
        <v>668</v>
      </c>
      <c r="H153" s="5" t="s">
        <v>1353</v>
      </c>
      <c r="I153" s="5"/>
      <c r="J153" s="5"/>
      <c r="K153" s="5" t="s">
        <v>3105</v>
      </c>
      <c r="L153" s="5" t="s">
        <v>276</v>
      </c>
      <c r="M153" s="5" t="s">
        <v>851</v>
      </c>
    </row>
    <row r="154" spans="1:13" ht="50.1" customHeight="1" x14ac:dyDescent="0.2">
      <c r="A154" s="5" t="s">
        <v>1357</v>
      </c>
      <c r="B154" s="5" t="s">
        <v>368</v>
      </c>
      <c r="C154" s="5" t="s">
        <v>1359</v>
      </c>
      <c r="D154" s="5" t="s">
        <v>3252</v>
      </c>
      <c r="E154" s="8">
        <v>1</v>
      </c>
      <c r="F154" s="5" t="s">
        <v>132</v>
      </c>
      <c r="G154" s="5" t="s">
        <v>668</v>
      </c>
      <c r="H154" s="5" t="s">
        <v>1358</v>
      </c>
      <c r="I154" s="5"/>
      <c r="J154" s="5"/>
      <c r="K154" s="5" t="s">
        <v>3105</v>
      </c>
      <c r="L154" s="5" t="s">
        <v>276</v>
      </c>
      <c r="M154" s="5" t="s">
        <v>851</v>
      </c>
    </row>
    <row r="155" spans="1:13" ht="50.1" customHeight="1" x14ac:dyDescent="0.2">
      <c r="A155" s="5" t="s">
        <v>1362</v>
      </c>
      <c r="B155" s="5" t="s">
        <v>376</v>
      </c>
      <c r="C155" s="5" t="s">
        <v>1364</v>
      </c>
      <c r="D155" s="5" t="s">
        <v>3253</v>
      </c>
      <c r="E155" s="8">
        <v>1</v>
      </c>
      <c r="F155" s="5" t="s">
        <v>132</v>
      </c>
      <c r="G155" s="5" t="s">
        <v>668</v>
      </c>
      <c r="H155" s="5" t="s">
        <v>1363</v>
      </c>
      <c r="I155" s="5"/>
      <c r="J155" s="5"/>
      <c r="K155" s="5" t="s">
        <v>3105</v>
      </c>
      <c r="L155" s="5" t="s">
        <v>276</v>
      </c>
      <c r="M155" s="5" t="s">
        <v>851</v>
      </c>
    </row>
    <row r="156" spans="1:13" ht="50.1" customHeight="1" x14ac:dyDescent="0.2">
      <c r="A156" s="5" t="s">
        <v>1367</v>
      </c>
      <c r="B156" s="5" t="s">
        <v>500</v>
      </c>
      <c r="C156" s="5" t="s">
        <v>1369</v>
      </c>
      <c r="D156" s="5" t="s">
        <v>3254</v>
      </c>
      <c r="E156" s="8">
        <v>1</v>
      </c>
      <c r="F156" s="5" t="s">
        <v>132</v>
      </c>
      <c r="G156" s="5" t="s">
        <v>668</v>
      </c>
      <c r="H156" s="5" t="s">
        <v>1368</v>
      </c>
      <c r="I156" s="5"/>
      <c r="J156" s="5"/>
      <c r="K156" s="5" t="s">
        <v>3105</v>
      </c>
      <c r="L156" s="5" t="s">
        <v>276</v>
      </c>
      <c r="M156" s="5" t="s">
        <v>851</v>
      </c>
    </row>
    <row r="157" spans="1:13" ht="50.1" customHeight="1" x14ac:dyDescent="0.2">
      <c r="A157" s="5" t="s">
        <v>1372</v>
      </c>
      <c r="B157" s="5" t="s">
        <v>420</v>
      </c>
      <c r="C157" s="5" t="s">
        <v>1374</v>
      </c>
      <c r="D157" s="5" t="s">
        <v>3255</v>
      </c>
      <c r="E157" s="8">
        <v>1</v>
      </c>
      <c r="F157" s="5" t="s">
        <v>132</v>
      </c>
      <c r="G157" s="5" t="s">
        <v>668</v>
      </c>
      <c r="H157" s="5" t="s">
        <v>1373</v>
      </c>
      <c r="I157" s="5"/>
      <c r="J157" s="5"/>
      <c r="K157" s="5" t="s">
        <v>3105</v>
      </c>
      <c r="L157" s="5" t="s">
        <v>276</v>
      </c>
      <c r="M157" s="5" t="s">
        <v>851</v>
      </c>
    </row>
    <row r="158" spans="1:13" ht="50.1" customHeight="1" x14ac:dyDescent="0.2">
      <c r="A158" s="5" t="s">
        <v>1377</v>
      </c>
      <c r="B158" s="5" t="s">
        <v>1378</v>
      </c>
      <c r="C158" s="5" t="s">
        <v>1380</v>
      </c>
      <c r="D158" s="5" t="s">
        <v>3256</v>
      </c>
      <c r="E158" s="8">
        <v>1</v>
      </c>
      <c r="F158" s="5" t="s">
        <v>132</v>
      </c>
      <c r="G158" s="5" t="s">
        <v>668</v>
      </c>
      <c r="H158" s="5" t="s">
        <v>1379</v>
      </c>
      <c r="I158" s="5"/>
      <c r="J158" s="5"/>
      <c r="K158" s="5" t="s">
        <v>3105</v>
      </c>
      <c r="L158" s="5" t="s">
        <v>276</v>
      </c>
      <c r="M158" s="5" t="s">
        <v>851</v>
      </c>
    </row>
    <row r="159" spans="1:13" ht="50.1" customHeight="1" x14ac:dyDescent="0.2">
      <c r="A159" s="5" t="s">
        <v>1384</v>
      </c>
      <c r="B159" s="5" t="s">
        <v>1385</v>
      </c>
      <c r="C159" s="5" t="s">
        <v>1387</v>
      </c>
      <c r="D159" s="5" t="s">
        <v>3257</v>
      </c>
      <c r="E159" s="8">
        <v>1</v>
      </c>
      <c r="F159" s="5" t="s">
        <v>132</v>
      </c>
      <c r="G159" s="5" t="s">
        <v>668</v>
      </c>
      <c r="H159" s="5" t="s">
        <v>1386</v>
      </c>
      <c r="I159" s="5"/>
      <c r="J159" s="5"/>
      <c r="K159" s="5" t="s">
        <v>3105</v>
      </c>
      <c r="L159" s="5" t="s">
        <v>276</v>
      </c>
      <c r="M159" s="5" t="s">
        <v>851</v>
      </c>
    </row>
    <row r="160" spans="1:13" ht="50.1" customHeight="1" x14ac:dyDescent="0.2">
      <c r="A160" s="5" t="s">
        <v>1392</v>
      </c>
      <c r="B160" s="5" t="s">
        <v>966</v>
      </c>
      <c r="C160" s="5" t="s">
        <v>1394</v>
      </c>
      <c r="D160" s="5" t="s">
        <v>3258</v>
      </c>
      <c r="E160" s="8">
        <v>1</v>
      </c>
      <c r="F160" s="5" t="s">
        <v>132</v>
      </c>
      <c r="G160" s="5" t="s">
        <v>668</v>
      </c>
      <c r="H160" s="5" t="s">
        <v>1393</v>
      </c>
      <c r="I160" s="5"/>
      <c r="J160" s="5"/>
      <c r="K160" s="5" t="s">
        <v>3105</v>
      </c>
      <c r="L160" s="5" t="s">
        <v>276</v>
      </c>
      <c r="M160" s="5" t="s">
        <v>851</v>
      </c>
    </row>
    <row r="161" spans="1:13" ht="50.1" customHeight="1" x14ac:dyDescent="0.2">
      <c r="A161" s="5" t="s">
        <v>1398</v>
      </c>
      <c r="B161" s="5" t="s">
        <v>1399</v>
      </c>
      <c r="C161" s="5" t="s">
        <v>1401</v>
      </c>
      <c r="D161" s="5" t="s">
        <v>3259</v>
      </c>
      <c r="E161" s="8">
        <v>1</v>
      </c>
      <c r="F161" s="5" t="s">
        <v>132</v>
      </c>
      <c r="G161" s="5" t="s">
        <v>668</v>
      </c>
      <c r="H161" s="5" t="s">
        <v>1400</v>
      </c>
      <c r="I161" s="5"/>
      <c r="J161" s="5"/>
      <c r="K161" s="5" t="s">
        <v>3105</v>
      </c>
      <c r="L161" s="5" t="s">
        <v>276</v>
      </c>
      <c r="M161" s="5" t="s">
        <v>851</v>
      </c>
    </row>
    <row r="162" spans="1:13" ht="50.1" customHeight="1" x14ac:dyDescent="0.2">
      <c r="A162" s="5" t="s">
        <v>1407</v>
      </c>
      <c r="B162" s="5" t="s">
        <v>1408</v>
      </c>
      <c r="C162" s="5" t="s">
        <v>1410</v>
      </c>
      <c r="D162" s="5" t="s">
        <v>3260</v>
      </c>
      <c r="E162" s="8">
        <v>1</v>
      </c>
      <c r="F162" s="5" t="s">
        <v>132</v>
      </c>
      <c r="G162" s="5" t="s">
        <v>668</v>
      </c>
      <c r="H162" s="5" t="s">
        <v>1409</v>
      </c>
      <c r="I162" s="5"/>
      <c r="J162" s="5"/>
      <c r="K162" s="5" t="s">
        <v>3105</v>
      </c>
      <c r="L162" s="5" t="s">
        <v>276</v>
      </c>
      <c r="M162" s="5" t="s">
        <v>851</v>
      </c>
    </row>
    <row r="163" spans="1:13" ht="57" customHeight="1" x14ac:dyDescent="0.2">
      <c r="A163" s="5" t="s">
        <v>1415</v>
      </c>
      <c r="B163" s="5" t="s">
        <v>1416</v>
      </c>
      <c r="C163" s="5" t="s">
        <v>1418</v>
      </c>
      <c r="D163" s="5" t="s">
        <v>3261</v>
      </c>
      <c r="E163" s="8">
        <v>1</v>
      </c>
      <c r="F163" s="5" t="s">
        <v>132</v>
      </c>
      <c r="G163" s="5" t="s">
        <v>668</v>
      </c>
      <c r="H163" s="5" t="s">
        <v>1417</v>
      </c>
      <c r="I163" s="5"/>
      <c r="J163" s="5"/>
      <c r="K163" s="5" t="s">
        <v>3105</v>
      </c>
      <c r="L163" s="5" t="s">
        <v>276</v>
      </c>
      <c r="M163" s="5" t="s">
        <v>851</v>
      </c>
    </row>
    <row r="164" spans="1:13" ht="57" customHeight="1" x14ac:dyDescent="0.2">
      <c r="A164" s="5" t="s">
        <v>1423</v>
      </c>
      <c r="B164" s="5" t="s">
        <v>1424</v>
      </c>
      <c r="C164" s="5" t="s">
        <v>1426</v>
      </c>
      <c r="D164" s="5" t="s">
        <v>3262</v>
      </c>
      <c r="E164" s="8">
        <v>1</v>
      </c>
      <c r="F164" s="5" t="s">
        <v>132</v>
      </c>
      <c r="G164" s="5" t="s">
        <v>668</v>
      </c>
      <c r="H164" s="5" t="s">
        <v>1425</v>
      </c>
      <c r="I164" s="5"/>
      <c r="J164" s="5"/>
      <c r="K164" s="5" t="s">
        <v>3105</v>
      </c>
      <c r="L164" s="5" t="s">
        <v>276</v>
      </c>
      <c r="M164" s="5" t="s">
        <v>851</v>
      </c>
    </row>
    <row r="165" spans="1:13" ht="57" customHeight="1" x14ac:dyDescent="0.2">
      <c r="A165" s="5" t="s">
        <v>1431</v>
      </c>
      <c r="B165" s="5" t="s">
        <v>1432</v>
      </c>
      <c r="C165" s="5" t="s">
        <v>1434</v>
      </c>
      <c r="D165" s="5" t="s">
        <v>3263</v>
      </c>
      <c r="E165" s="8">
        <v>1</v>
      </c>
      <c r="F165" s="5" t="s">
        <v>132</v>
      </c>
      <c r="G165" s="5" t="s">
        <v>668</v>
      </c>
      <c r="H165" s="5" t="s">
        <v>1433</v>
      </c>
      <c r="I165" s="5"/>
      <c r="J165" s="5"/>
      <c r="K165" s="5" t="s">
        <v>3105</v>
      </c>
      <c r="L165" s="5" t="s">
        <v>276</v>
      </c>
      <c r="M165" s="5" t="s">
        <v>851</v>
      </c>
    </row>
    <row r="166" spans="1:13" ht="72" customHeight="1" x14ac:dyDescent="0.2">
      <c r="A166" s="5" t="s">
        <v>1439</v>
      </c>
      <c r="B166" s="5" t="s">
        <v>1440</v>
      </c>
      <c r="C166" s="5" t="s">
        <v>1442</v>
      </c>
      <c r="D166" s="5" t="s">
        <v>3264</v>
      </c>
      <c r="E166" s="8">
        <v>1</v>
      </c>
      <c r="F166" s="5" t="s">
        <v>132</v>
      </c>
      <c r="G166" s="5" t="s">
        <v>668</v>
      </c>
      <c r="H166" s="5" t="s">
        <v>1441</v>
      </c>
      <c r="I166" s="5"/>
      <c r="J166" s="5"/>
      <c r="K166" s="5" t="s">
        <v>3105</v>
      </c>
      <c r="L166" s="5" t="s">
        <v>276</v>
      </c>
      <c r="M166" s="5" t="s">
        <v>851</v>
      </c>
    </row>
    <row r="167" spans="1:13" ht="50.1" customHeight="1" x14ac:dyDescent="0.2">
      <c r="A167" s="5" t="s">
        <v>1447</v>
      </c>
      <c r="B167" s="5" t="s">
        <v>1448</v>
      </c>
      <c r="C167" s="5" t="s">
        <v>1450</v>
      </c>
      <c r="D167" s="5" t="s">
        <v>3265</v>
      </c>
      <c r="E167" s="8">
        <v>1</v>
      </c>
      <c r="F167" s="5" t="s">
        <v>132</v>
      </c>
      <c r="G167" s="5" t="s">
        <v>668</v>
      </c>
      <c r="H167" s="5" t="s">
        <v>1449</v>
      </c>
      <c r="I167" s="5"/>
      <c r="J167" s="5"/>
      <c r="K167" s="5" t="s">
        <v>3105</v>
      </c>
      <c r="L167" s="5" t="s">
        <v>276</v>
      </c>
      <c r="M167" s="5" t="s">
        <v>851</v>
      </c>
    </row>
    <row r="168" spans="1:13" ht="50.1" customHeight="1" x14ac:dyDescent="0.2">
      <c r="A168" s="5" t="s">
        <v>1455</v>
      </c>
      <c r="B168" s="5" t="s">
        <v>1456</v>
      </c>
      <c r="C168" s="5" t="s">
        <v>1458</v>
      </c>
      <c r="D168" s="5" t="s">
        <v>3266</v>
      </c>
      <c r="E168" s="8">
        <v>1</v>
      </c>
      <c r="F168" s="5" t="s">
        <v>132</v>
      </c>
      <c r="G168" s="5" t="s">
        <v>668</v>
      </c>
      <c r="H168" s="5" t="s">
        <v>1457</v>
      </c>
      <c r="I168" s="5"/>
      <c r="J168" s="5"/>
      <c r="K168" s="5" t="s">
        <v>3105</v>
      </c>
      <c r="L168" s="5" t="s">
        <v>276</v>
      </c>
      <c r="M168" s="5" t="s">
        <v>851</v>
      </c>
    </row>
    <row r="169" spans="1:13" ht="50.1" customHeight="1" x14ac:dyDescent="0.2">
      <c r="A169" s="5" t="s">
        <v>1461</v>
      </c>
      <c r="B169" s="5" t="s">
        <v>356</v>
      </c>
      <c r="C169" s="5" t="s">
        <v>1463</v>
      </c>
      <c r="D169" s="5" t="s">
        <v>3267</v>
      </c>
      <c r="E169" s="8">
        <v>1</v>
      </c>
      <c r="F169" s="5" t="s">
        <v>132</v>
      </c>
      <c r="G169" s="5" t="s">
        <v>668</v>
      </c>
      <c r="H169" s="5" t="s">
        <v>1462</v>
      </c>
      <c r="I169" s="5"/>
      <c r="J169" s="5"/>
      <c r="K169" s="5" t="s">
        <v>3105</v>
      </c>
      <c r="L169" s="5" t="s">
        <v>276</v>
      </c>
      <c r="M169" s="5" t="s">
        <v>851</v>
      </c>
    </row>
    <row r="170" spans="1:13" ht="50.1" customHeight="1" x14ac:dyDescent="0.2">
      <c r="A170" s="5" t="s">
        <v>1466</v>
      </c>
      <c r="B170" s="5" t="s">
        <v>368</v>
      </c>
      <c r="C170" s="5" t="s">
        <v>1468</v>
      </c>
      <c r="D170" s="5" t="s">
        <v>3268</v>
      </c>
      <c r="E170" s="8">
        <v>1</v>
      </c>
      <c r="F170" s="5" t="s">
        <v>132</v>
      </c>
      <c r="G170" s="5" t="s">
        <v>668</v>
      </c>
      <c r="H170" s="5" t="s">
        <v>1467</v>
      </c>
      <c r="I170" s="5"/>
      <c r="J170" s="5"/>
      <c r="K170" s="5" t="s">
        <v>3105</v>
      </c>
      <c r="L170" s="5" t="s">
        <v>276</v>
      </c>
      <c r="M170" s="5" t="s">
        <v>851</v>
      </c>
    </row>
    <row r="171" spans="1:13" ht="50.1" customHeight="1" x14ac:dyDescent="0.2">
      <c r="A171" s="5" t="s">
        <v>1471</v>
      </c>
      <c r="B171" s="5" t="s">
        <v>376</v>
      </c>
      <c r="C171" s="5" t="s">
        <v>1473</v>
      </c>
      <c r="D171" s="5" t="s">
        <v>3269</v>
      </c>
      <c r="E171" s="8">
        <v>1</v>
      </c>
      <c r="F171" s="5" t="s">
        <v>132</v>
      </c>
      <c r="G171" s="5" t="s">
        <v>668</v>
      </c>
      <c r="H171" s="5" t="s">
        <v>1472</v>
      </c>
      <c r="I171" s="5"/>
      <c r="J171" s="5"/>
      <c r="K171" s="5" t="s">
        <v>3105</v>
      </c>
      <c r="L171" s="5" t="s">
        <v>276</v>
      </c>
      <c r="M171" s="5" t="s">
        <v>851</v>
      </c>
    </row>
    <row r="172" spans="1:13" ht="50.1" customHeight="1" x14ac:dyDescent="0.2">
      <c r="A172" s="5" t="s">
        <v>1476</v>
      </c>
      <c r="B172" s="5" t="s">
        <v>818</v>
      </c>
      <c r="C172" s="5" t="s">
        <v>1478</v>
      </c>
      <c r="D172" s="5" t="s">
        <v>3270</v>
      </c>
      <c r="E172" s="8">
        <v>1</v>
      </c>
      <c r="F172" s="5" t="s">
        <v>132</v>
      </c>
      <c r="G172" s="5" t="s">
        <v>668</v>
      </c>
      <c r="H172" s="5" t="s">
        <v>1477</v>
      </c>
      <c r="I172" s="5"/>
      <c r="J172" s="5"/>
      <c r="K172" s="5" t="s">
        <v>3105</v>
      </c>
      <c r="L172" s="5" t="s">
        <v>276</v>
      </c>
      <c r="M172" s="5" t="s">
        <v>851</v>
      </c>
    </row>
    <row r="173" spans="1:13" ht="50.1" customHeight="1" x14ac:dyDescent="0.2">
      <c r="A173" s="5" t="s">
        <v>1481</v>
      </c>
      <c r="B173" s="5" t="s">
        <v>818</v>
      </c>
      <c r="C173" s="5" t="s">
        <v>1483</v>
      </c>
      <c r="D173" s="5" t="s">
        <v>3271</v>
      </c>
      <c r="E173" s="8">
        <v>1</v>
      </c>
      <c r="F173" s="5" t="s">
        <v>132</v>
      </c>
      <c r="G173" s="5" t="s">
        <v>668</v>
      </c>
      <c r="H173" s="5" t="s">
        <v>1482</v>
      </c>
      <c r="I173" s="5"/>
      <c r="J173" s="5"/>
      <c r="K173" s="5" t="s">
        <v>3105</v>
      </c>
      <c r="L173" s="5" t="s">
        <v>276</v>
      </c>
      <c r="M173" s="5" t="s">
        <v>851</v>
      </c>
    </row>
    <row r="174" spans="1:13" ht="50.1" customHeight="1" x14ac:dyDescent="0.2">
      <c r="A174" s="5" t="s">
        <v>1486</v>
      </c>
      <c r="B174" s="5" t="s">
        <v>1487</v>
      </c>
      <c r="C174" s="5" t="s">
        <v>1489</v>
      </c>
      <c r="D174" s="5" t="s">
        <v>3272</v>
      </c>
      <c r="E174" s="8">
        <v>1</v>
      </c>
      <c r="F174" s="5" t="s">
        <v>132</v>
      </c>
      <c r="G174" s="5" t="s">
        <v>668</v>
      </c>
      <c r="H174" s="5" t="s">
        <v>1488</v>
      </c>
      <c r="I174" s="5"/>
      <c r="J174" s="5"/>
      <c r="K174" s="5" t="s">
        <v>3105</v>
      </c>
      <c r="L174" s="5" t="s">
        <v>276</v>
      </c>
      <c r="M174" s="5" t="s">
        <v>851</v>
      </c>
    </row>
    <row r="175" spans="1:13" ht="50.1" customHeight="1" x14ac:dyDescent="0.2">
      <c r="A175" s="5" t="s">
        <v>1494</v>
      </c>
      <c r="B175" s="5" t="s">
        <v>1495</v>
      </c>
      <c r="C175" s="5" t="s">
        <v>1497</v>
      </c>
      <c r="D175" s="5" t="s">
        <v>3273</v>
      </c>
      <c r="E175" s="8">
        <v>1</v>
      </c>
      <c r="F175" s="5" t="s">
        <v>132</v>
      </c>
      <c r="G175" s="5" t="s">
        <v>668</v>
      </c>
      <c r="H175" s="5" t="s">
        <v>1496</v>
      </c>
      <c r="I175" s="5"/>
      <c r="J175" s="5"/>
      <c r="K175" s="5" t="s">
        <v>3105</v>
      </c>
      <c r="L175" s="5" t="s">
        <v>276</v>
      </c>
      <c r="M175" s="5" t="s">
        <v>851</v>
      </c>
    </row>
    <row r="176" spans="1:13" ht="50.1" customHeight="1" x14ac:dyDescent="0.2">
      <c r="A176" s="5" t="s">
        <v>1502</v>
      </c>
      <c r="B176" s="5" t="s">
        <v>1503</v>
      </c>
      <c r="C176" s="5" t="s">
        <v>1505</v>
      </c>
      <c r="D176" s="5" t="s">
        <v>3274</v>
      </c>
      <c r="E176" s="8">
        <v>1</v>
      </c>
      <c r="F176" s="5" t="s">
        <v>132</v>
      </c>
      <c r="G176" s="5" t="s">
        <v>668</v>
      </c>
      <c r="H176" s="5" t="s">
        <v>1504</v>
      </c>
      <c r="I176" s="5"/>
      <c r="J176" s="5"/>
      <c r="K176" s="5" t="s">
        <v>3105</v>
      </c>
      <c r="L176" s="5" t="s">
        <v>276</v>
      </c>
      <c r="M176" s="5" t="s">
        <v>851</v>
      </c>
    </row>
    <row r="177" spans="1:13" ht="50.1" customHeight="1" x14ac:dyDescent="0.2">
      <c r="A177" s="5" t="s">
        <v>1510</v>
      </c>
      <c r="B177" s="5" t="s">
        <v>1511</v>
      </c>
      <c r="C177" s="5" t="s">
        <v>1513</v>
      </c>
      <c r="D177" s="5" t="s">
        <v>3275</v>
      </c>
      <c r="E177" s="8">
        <v>1</v>
      </c>
      <c r="F177" s="5" t="s">
        <v>132</v>
      </c>
      <c r="G177" s="5" t="s">
        <v>668</v>
      </c>
      <c r="H177" s="5" t="s">
        <v>1512</v>
      </c>
      <c r="I177" s="5"/>
      <c r="J177" s="5"/>
      <c r="K177" s="5" t="s">
        <v>3105</v>
      </c>
      <c r="L177" s="5" t="s">
        <v>276</v>
      </c>
      <c r="M177" s="5" t="s">
        <v>851</v>
      </c>
    </row>
    <row r="178" spans="1:13" ht="50.1" customHeight="1" x14ac:dyDescent="0.2">
      <c r="A178" s="5" t="s">
        <v>1518</v>
      </c>
      <c r="B178" s="5" t="s">
        <v>818</v>
      </c>
      <c r="C178" s="5" t="s">
        <v>1520</v>
      </c>
      <c r="D178" s="5" t="s">
        <v>3276</v>
      </c>
      <c r="E178" s="8">
        <v>1</v>
      </c>
      <c r="F178" s="5" t="s">
        <v>132</v>
      </c>
      <c r="G178" s="5" t="s">
        <v>668</v>
      </c>
      <c r="H178" s="5" t="s">
        <v>1519</v>
      </c>
      <c r="I178" s="5"/>
      <c r="J178" s="5"/>
      <c r="K178" s="5" t="s">
        <v>3105</v>
      </c>
      <c r="L178" s="5" t="s">
        <v>276</v>
      </c>
      <c r="M178" s="5" t="s">
        <v>851</v>
      </c>
    </row>
    <row r="179" spans="1:13" ht="50.1" customHeight="1" x14ac:dyDescent="0.2">
      <c r="A179" s="5" t="s">
        <v>1523</v>
      </c>
      <c r="B179" s="5" t="s">
        <v>1524</v>
      </c>
      <c r="C179" s="5" t="s">
        <v>1526</v>
      </c>
      <c r="D179" s="5" t="s">
        <v>3277</v>
      </c>
      <c r="E179" s="8">
        <v>1</v>
      </c>
      <c r="F179" s="5" t="s">
        <v>132</v>
      </c>
      <c r="G179" s="5" t="s">
        <v>668</v>
      </c>
      <c r="H179" s="5" t="s">
        <v>1525</v>
      </c>
      <c r="I179" s="5"/>
      <c r="J179" s="5"/>
      <c r="K179" s="5" t="s">
        <v>3105</v>
      </c>
      <c r="L179" s="5" t="s">
        <v>276</v>
      </c>
      <c r="M179" s="5" t="s">
        <v>851</v>
      </c>
    </row>
    <row r="180" spans="1:13" ht="50.1" customHeight="1" x14ac:dyDescent="0.2">
      <c r="A180" s="5" t="s">
        <v>1531</v>
      </c>
      <c r="B180" s="5" t="s">
        <v>1532</v>
      </c>
      <c r="C180" s="5" t="s">
        <v>1534</v>
      </c>
      <c r="D180" s="5" t="s">
        <v>3278</v>
      </c>
      <c r="E180" s="8">
        <v>1</v>
      </c>
      <c r="F180" s="5" t="s">
        <v>132</v>
      </c>
      <c r="G180" s="5" t="s">
        <v>668</v>
      </c>
      <c r="H180" s="5" t="s">
        <v>1533</v>
      </c>
      <c r="I180" s="5"/>
      <c r="J180" s="5"/>
      <c r="K180" s="5" t="s">
        <v>3105</v>
      </c>
      <c r="L180" s="5" t="s">
        <v>276</v>
      </c>
      <c r="M180" s="5" t="s">
        <v>851</v>
      </c>
    </row>
    <row r="181" spans="1:13" ht="50.1" customHeight="1" x14ac:dyDescent="0.2">
      <c r="A181" s="5" t="s">
        <v>1537</v>
      </c>
      <c r="B181" s="5" t="s">
        <v>356</v>
      </c>
      <c r="C181" s="5" t="s">
        <v>1539</v>
      </c>
      <c r="D181" s="5" t="s">
        <v>3279</v>
      </c>
      <c r="E181" s="8">
        <v>1</v>
      </c>
      <c r="F181" s="5" t="s">
        <v>132</v>
      </c>
      <c r="G181" s="5" t="s">
        <v>668</v>
      </c>
      <c r="H181" s="5" t="s">
        <v>1538</v>
      </c>
      <c r="I181" s="5"/>
      <c r="J181" s="5"/>
      <c r="K181" s="5" t="s">
        <v>3105</v>
      </c>
      <c r="L181" s="5" t="s">
        <v>276</v>
      </c>
      <c r="M181" s="5" t="s">
        <v>851</v>
      </c>
    </row>
    <row r="182" spans="1:13" ht="50.1" customHeight="1" x14ac:dyDescent="0.2">
      <c r="A182" s="5" t="s">
        <v>1542</v>
      </c>
      <c r="B182" s="5" t="s">
        <v>368</v>
      </c>
      <c r="C182" s="5" t="s">
        <v>1544</v>
      </c>
      <c r="D182" s="5" t="s">
        <v>3280</v>
      </c>
      <c r="E182" s="8">
        <v>1</v>
      </c>
      <c r="F182" s="5" t="s">
        <v>132</v>
      </c>
      <c r="G182" s="5" t="s">
        <v>668</v>
      </c>
      <c r="H182" s="5" t="s">
        <v>1543</v>
      </c>
      <c r="I182" s="5"/>
      <c r="J182" s="5"/>
      <c r="K182" s="5" t="s">
        <v>3105</v>
      </c>
      <c r="L182" s="5" t="s">
        <v>276</v>
      </c>
      <c r="M182" s="5" t="s">
        <v>851</v>
      </c>
    </row>
    <row r="183" spans="1:13" ht="50.1" customHeight="1" x14ac:dyDescent="0.2">
      <c r="A183" s="5" t="s">
        <v>1547</v>
      </c>
      <c r="B183" s="5" t="s">
        <v>376</v>
      </c>
      <c r="C183" s="5" t="s">
        <v>1549</v>
      </c>
      <c r="D183" s="5" t="s">
        <v>3281</v>
      </c>
      <c r="E183" s="8">
        <v>1</v>
      </c>
      <c r="F183" s="5" t="s">
        <v>132</v>
      </c>
      <c r="G183" s="5" t="s">
        <v>668</v>
      </c>
      <c r="H183" s="5" t="s">
        <v>1548</v>
      </c>
      <c r="I183" s="5"/>
      <c r="J183" s="5"/>
      <c r="K183" s="5" t="s">
        <v>3105</v>
      </c>
      <c r="L183" s="5" t="s">
        <v>276</v>
      </c>
      <c r="M183" s="5" t="s">
        <v>851</v>
      </c>
    </row>
    <row r="184" spans="1:13" ht="50.1" customHeight="1" x14ac:dyDescent="0.2">
      <c r="A184" s="5" t="s">
        <v>1552</v>
      </c>
      <c r="B184" s="5" t="s">
        <v>818</v>
      </c>
      <c r="C184" s="5" t="s">
        <v>1554</v>
      </c>
      <c r="D184" s="5" t="s">
        <v>3282</v>
      </c>
      <c r="E184" s="8">
        <v>1</v>
      </c>
      <c r="F184" s="5" t="s">
        <v>132</v>
      </c>
      <c r="G184" s="5" t="s">
        <v>668</v>
      </c>
      <c r="H184" s="5" t="s">
        <v>1553</v>
      </c>
      <c r="I184" s="5"/>
      <c r="J184" s="5"/>
      <c r="K184" s="5" t="s">
        <v>3105</v>
      </c>
      <c r="L184" s="5" t="s">
        <v>276</v>
      </c>
      <c r="M184" s="5" t="s">
        <v>851</v>
      </c>
    </row>
    <row r="185" spans="1:13" ht="50.1" customHeight="1" x14ac:dyDescent="0.2">
      <c r="A185" s="5" t="s">
        <v>1557</v>
      </c>
      <c r="B185" s="5" t="s">
        <v>1558</v>
      </c>
      <c r="C185" s="5" t="s">
        <v>1560</v>
      </c>
      <c r="D185" s="5" t="s">
        <v>3283</v>
      </c>
      <c r="E185" s="8">
        <v>1</v>
      </c>
      <c r="F185" s="5" t="s">
        <v>132</v>
      </c>
      <c r="G185" s="5" t="s">
        <v>668</v>
      </c>
      <c r="H185" s="5" t="s">
        <v>1559</v>
      </c>
      <c r="I185" s="5"/>
      <c r="J185" s="5"/>
      <c r="K185" s="5" t="s">
        <v>3105</v>
      </c>
      <c r="L185" s="5" t="s">
        <v>276</v>
      </c>
      <c r="M185" s="5" t="s">
        <v>851</v>
      </c>
    </row>
    <row r="186" spans="1:13" ht="50.1" customHeight="1" x14ac:dyDescent="0.2">
      <c r="A186" s="5" t="s">
        <v>1564</v>
      </c>
      <c r="B186" s="5" t="s">
        <v>412</v>
      </c>
      <c r="C186" s="5" t="s">
        <v>1566</v>
      </c>
      <c r="D186" s="5" t="s">
        <v>3284</v>
      </c>
      <c r="E186" s="8">
        <v>1</v>
      </c>
      <c r="F186" s="5" t="s">
        <v>132</v>
      </c>
      <c r="G186" s="5" t="s">
        <v>668</v>
      </c>
      <c r="H186" s="5" t="s">
        <v>1565</v>
      </c>
      <c r="I186" s="5"/>
      <c r="J186" s="5"/>
      <c r="K186" s="5" t="s">
        <v>3105</v>
      </c>
      <c r="L186" s="5" t="s">
        <v>276</v>
      </c>
      <c r="M186" s="5" t="s">
        <v>851</v>
      </c>
    </row>
    <row r="187" spans="1:13" ht="50.1" customHeight="1" x14ac:dyDescent="0.2">
      <c r="A187" s="5" t="s">
        <v>1569</v>
      </c>
      <c r="B187" s="5" t="s">
        <v>1570</v>
      </c>
      <c r="C187" s="5" t="s">
        <v>1572</v>
      </c>
      <c r="D187" s="5" t="s">
        <v>3285</v>
      </c>
      <c r="E187" s="8">
        <v>1</v>
      </c>
      <c r="F187" s="5" t="s">
        <v>132</v>
      </c>
      <c r="G187" s="5" t="s">
        <v>668</v>
      </c>
      <c r="H187" s="5" t="s">
        <v>1571</v>
      </c>
      <c r="I187" s="5"/>
      <c r="J187" s="5"/>
      <c r="K187" s="5" t="s">
        <v>3105</v>
      </c>
      <c r="L187" s="5" t="s">
        <v>276</v>
      </c>
      <c r="M187" s="5" t="s">
        <v>851</v>
      </c>
    </row>
    <row r="188" spans="1:13" ht="50.1" customHeight="1" x14ac:dyDescent="0.2">
      <c r="A188" s="5" t="s">
        <v>1577</v>
      </c>
      <c r="B188" s="5" t="s">
        <v>1578</v>
      </c>
      <c r="C188" s="5" t="s">
        <v>1580</v>
      </c>
      <c r="D188" s="5" t="s">
        <v>3286</v>
      </c>
      <c r="E188" s="8">
        <v>1</v>
      </c>
      <c r="F188" s="5" t="s">
        <v>132</v>
      </c>
      <c r="G188" s="5" t="s">
        <v>668</v>
      </c>
      <c r="H188" s="5" t="s">
        <v>1579</v>
      </c>
      <c r="I188" s="5"/>
      <c r="J188" s="5"/>
      <c r="K188" s="5" t="s">
        <v>3105</v>
      </c>
      <c r="L188" s="5" t="s">
        <v>276</v>
      </c>
      <c r="M188" s="5" t="s">
        <v>851</v>
      </c>
    </row>
    <row r="189" spans="1:13" ht="50.1" customHeight="1" x14ac:dyDescent="0.2">
      <c r="A189" s="5" t="s">
        <v>1585</v>
      </c>
      <c r="B189" s="5" t="s">
        <v>1586</v>
      </c>
      <c r="C189" s="5" t="s">
        <v>1588</v>
      </c>
      <c r="D189" s="5" t="s">
        <v>3287</v>
      </c>
      <c r="E189" s="8">
        <v>1</v>
      </c>
      <c r="F189" s="5" t="s">
        <v>132</v>
      </c>
      <c r="G189" s="5" t="s">
        <v>668</v>
      </c>
      <c r="H189" s="5" t="s">
        <v>1587</v>
      </c>
      <c r="I189" s="5"/>
      <c r="J189" s="5"/>
      <c r="K189" s="5" t="s">
        <v>3105</v>
      </c>
      <c r="L189" s="5" t="s">
        <v>276</v>
      </c>
      <c r="M189" s="5" t="s">
        <v>851</v>
      </c>
    </row>
    <row r="190" spans="1:13" ht="50.1" customHeight="1" x14ac:dyDescent="0.2">
      <c r="A190" s="5" t="s">
        <v>1593</v>
      </c>
      <c r="B190" s="5" t="s">
        <v>1594</v>
      </c>
      <c r="C190" s="5" t="s">
        <v>1596</v>
      </c>
      <c r="D190" s="5" t="s">
        <v>3288</v>
      </c>
      <c r="E190" s="8">
        <v>1</v>
      </c>
      <c r="F190" s="5" t="s">
        <v>132</v>
      </c>
      <c r="G190" s="5" t="s">
        <v>668</v>
      </c>
      <c r="H190" s="5" t="s">
        <v>1595</v>
      </c>
      <c r="I190" s="5"/>
      <c r="J190" s="5"/>
      <c r="K190" s="5" t="s">
        <v>3105</v>
      </c>
      <c r="L190" s="5" t="s">
        <v>276</v>
      </c>
      <c r="M190" s="5" t="s">
        <v>851</v>
      </c>
    </row>
    <row r="191" spans="1:13" ht="50.1" customHeight="1" x14ac:dyDescent="0.2">
      <c r="A191" s="5" t="s">
        <v>1601</v>
      </c>
      <c r="B191" s="5" t="s">
        <v>1308</v>
      </c>
      <c r="C191" s="5" t="s">
        <v>1603</v>
      </c>
      <c r="D191" s="5" t="s">
        <v>3289</v>
      </c>
      <c r="E191" s="8">
        <v>1</v>
      </c>
      <c r="F191" s="5" t="s">
        <v>132</v>
      </c>
      <c r="G191" s="5" t="s">
        <v>668</v>
      </c>
      <c r="H191" s="5" t="s">
        <v>1602</v>
      </c>
      <c r="I191" s="5"/>
      <c r="J191" s="5"/>
      <c r="K191" s="5" t="s">
        <v>3105</v>
      </c>
      <c r="L191" s="5" t="s">
        <v>276</v>
      </c>
      <c r="M191" s="5" t="s">
        <v>851</v>
      </c>
    </row>
    <row r="192" spans="1:13" ht="50.1" customHeight="1" x14ac:dyDescent="0.2">
      <c r="A192" s="5" t="s">
        <v>1606</v>
      </c>
      <c r="B192" s="5" t="s">
        <v>1607</v>
      </c>
      <c r="C192" s="5" t="s">
        <v>1609</v>
      </c>
      <c r="D192" s="5" t="s">
        <v>3290</v>
      </c>
      <c r="E192" s="8">
        <v>1</v>
      </c>
      <c r="F192" s="5" t="s">
        <v>132</v>
      </c>
      <c r="G192" s="5" t="s">
        <v>668</v>
      </c>
      <c r="H192" s="5" t="s">
        <v>1608</v>
      </c>
      <c r="I192" s="5"/>
      <c r="J192" s="5"/>
      <c r="K192" s="5" t="s">
        <v>3105</v>
      </c>
      <c r="L192" s="5" t="s">
        <v>276</v>
      </c>
      <c r="M192" s="5" t="s">
        <v>851</v>
      </c>
    </row>
    <row r="193" spans="1:13" ht="50.1" customHeight="1" x14ac:dyDescent="0.2">
      <c r="A193" s="5" t="s">
        <v>1614</v>
      </c>
      <c r="B193" s="5" t="s">
        <v>1524</v>
      </c>
      <c r="C193" s="5" t="s">
        <v>1616</v>
      </c>
      <c r="D193" s="5" t="s">
        <v>3291</v>
      </c>
      <c r="E193" s="8">
        <v>1</v>
      </c>
      <c r="F193" s="5" t="s">
        <v>132</v>
      </c>
      <c r="G193" s="5" t="s">
        <v>668</v>
      </c>
      <c r="H193" s="5" t="s">
        <v>1615</v>
      </c>
      <c r="I193" s="5"/>
      <c r="J193" s="5"/>
      <c r="K193" s="5" t="s">
        <v>3105</v>
      </c>
      <c r="L193" s="5" t="s">
        <v>276</v>
      </c>
      <c r="M193" s="5" t="s">
        <v>851</v>
      </c>
    </row>
    <row r="194" spans="1:13" ht="50.1" customHeight="1" x14ac:dyDescent="0.2">
      <c r="A194" s="5" t="s">
        <v>1619</v>
      </c>
      <c r="B194" s="5" t="s">
        <v>1620</v>
      </c>
      <c r="C194" s="5" t="s">
        <v>1622</v>
      </c>
      <c r="D194" s="5" t="s">
        <v>3292</v>
      </c>
      <c r="E194" s="8">
        <v>1</v>
      </c>
      <c r="F194" s="5" t="s">
        <v>132</v>
      </c>
      <c r="G194" s="5" t="s">
        <v>668</v>
      </c>
      <c r="H194" s="5" t="s">
        <v>1621</v>
      </c>
      <c r="I194" s="5"/>
      <c r="J194" s="5"/>
      <c r="K194" s="5" t="s">
        <v>3105</v>
      </c>
      <c r="L194" s="5" t="s">
        <v>276</v>
      </c>
      <c r="M194" s="5" t="s">
        <v>851</v>
      </c>
    </row>
    <row r="195" spans="1:13" ht="50.1" customHeight="1" x14ac:dyDescent="0.2">
      <c r="A195" s="5" t="s">
        <v>1625</v>
      </c>
      <c r="B195" s="5" t="s">
        <v>356</v>
      </c>
      <c r="C195" s="5" t="s">
        <v>1627</v>
      </c>
      <c r="D195" s="5" t="s">
        <v>3293</v>
      </c>
      <c r="E195" s="8">
        <v>1</v>
      </c>
      <c r="F195" s="5" t="s">
        <v>132</v>
      </c>
      <c r="G195" s="5" t="s">
        <v>668</v>
      </c>
      <c r="H195" s="5" t="s">
        <v>1626</v>
      </c>
      <c r="I195" s="5"/>
      <c r="J195" s="5"/>
      <c r="K195" s="5" t="s">
        <v>3105</v>
      </c>
      <c r="L195" s="5" t="s">
        <v>276</v>
      </c>
      <c r="M195" s="5" t="s">
        <v>851</v>
      </c>
    </row>
    <row r="196" spans="1:13" ht="50.1" customHeight="1" x14ac:dyDescent="0.2">
      <c r="A196" s="5" t="s">
        <v>1630</v>
      </c>
      <c r="B196" s="5" t="s">
        <v>368</v>
      </c>
      <c r="C196" s="5" t="s">
        <v>1632</v>
      </c>
      <c r="D196" s="5" t="s">
        <v>3294</v>
      </c>
      <c r="E196" s="8">
        <v>1</v>
      </c>
      <c r="F196" s="5" t="s">
        <v>132</v>
      </c>
      <c r="G196" s="5" t="s">
        <v>668</v>
      </c>
      <c r="H196" s="5" t="s">
        <v>1631</v>
      </c>
      <c r="I196" s="5"/>
      <c r="J196" s="5"/>
      <c r="K196" s="5" t="s">
        <v>3105</v>
      </c>
      <c r="L196" s="5" t="s">
        <v>276</v>
      </c>
      <c r="M196" s="5" t="s">
        <v>851</v>
      </c>
    </row>
    <row r="197" spans="1:13" ht="50.1" customHeight="1" x14ac:dyDescent="0.2">
      <c r="A197" s="5" t="s">
        <v>1635</v>
      </c>
      <c r="B197" s="5" t="s">
        <v>376</v>
      </c>
      <c r="C197" s="5" t="s">
        <v>1637</v>
      </c>
      <c r="D197" s="5" t="s">
        <v>3295</v>
      </c>
      <c r="E197" s="8">
        <v>1</v>
      </c>
      <c r="F197" s="5" t="s">
        <v>132</v>
      </c>
      <c r="G197" s="5" t="s">
        <v>668</v>
      </c>
      <c r="H197" s="5" t="s">
        <v>1636</v>
      </c>
      <c r="I197" s="5"/>
      <c r="J197" s="5"/>
      <c r="K197" s="5" t="s">
        <v>3105</v>
      </c>
      <c r="L197" s="5" t="s">
        <v>276</v>
      </c>
      <c r="M197" s="5" t="s">
        <v>851</v>
      </c>
    </row>
    <row r="198" spans="1:13" ht="50.1" customHeight="1" x14ac:dyDescent="0.2">
      <c r="A198" s="5" t="s">
        <v>1640</v>
      </c>
      <c r="B198" s="5" t="s">
        <v>595</v>
      </c>
      <c r="C198" s="5" t="s">
        <v>1642</v>
      </c>
      <c r="D198" s="5" t="s">
        <v>3296</v>
      </c>
      <c r="E198" s="8">
        <v>1</v>
      </c>
      <c r="F198" s="5" t="s">
        <v>132</v>
      </c>
      <c r="G198" s="5" t="s">
        <v>668</v>
      </c>
      <c r="H198" s="5" t="s">
        <v>1641</v>
      </c>
      <c r="I198" s="5"/>
      <c r="J198" s="5"/>
      <c r="K198" s="5" t="s">
        <v>3105</v>
      </c>
      <c r="L198" s="5" t="s">
        <v>276</v>
      </c>
      <c r="M198" s="5" t="s">
        <v>851</v>
      </c>
    </row>
    <row r="199" spans="1:13" ht="50.1" customHeight="1" x14ac:dyDescent="0.2">
      <c r="A199" s="5" t="s">
        <v>1645</v>
      </c>
      <c r="B199" s="5" t="s">
        <v>1524</v>
      </c>
      <c r="C199" s="5" t="s">
        <v>1647</v>
      </c>
      <c r="D199" s="5" t="s">
        <v>3297</v>
      </c>
      <c r="E199" s="8">
        <v>1</v>
      </c>
      <c r="F199" s="5" t="s">
        <v>132</v>
      </c>
      <c r="G199" s="5" t="s">
        <v>668</v>
      </c>
      <c r="H199" s="5" t="s">
        <v>1646</v>
      </c>
      <c r="I199" s="5"/>
      <c r="J199" s="5"/>
      <c r="K199" s="5" t="s">
        <v>3105</v>
      </c>
      <c r="L199" s="5" t="s">
        <v>276</v>
      </c>
      <c r="M199" s="5" t="s">
        <v>851</v>
      </c>
    </row>
    <row r="200" spans="1:13" ht="50.1" customHeight="1" x14ac:dyDescent="0.2">
      <c r="A200" s="5" t="s">
        <v>1650</v>
      </c>
      <c r="B200" s="5" t="s">
        <v>1651</v>
      </c>
      <c r="C200" s="5" t="s">
        <v>1653</v>
      </c>
      <c r="D200" s="5" t="s">
        <v>3298</v>
      </c>
      <c r="E200" s="8">
        <v>1</v>
      </c>
      <c r="F200" s="5" t="s">
        <v>132</v>
      </c>
      <c r="G200" s="5" t="s">
        <v>668</v>
      </c>
      <c r="H200" s="5" t="s">
        <v>1652</v>
      </c>
      <c r="I200" s="5"/>
      <c r="J200" s="5"/>
      <c r="K200" s="5" t="s">
        <v>3105</v>
      </c>
      <c r="L200" s="5" t="s">
        <v>276</v>
      </c>
      <c r="M200" s="5" t="s">
        <v>851</v>
      </c>
    </row>
    <row r="201" spans="1:13" ht="50.1" customHeight="1" x14ac:dyDescent="0.2">
      <c r="A201" s="5" t="s">
        <v>1657</v>
      </c>
      <c r="B201" s="5" t="s">
        <v>603</v>
      </c>
      <c r="C201" s="5" t="s">
        <v>1659</v>
      </c>
      <c r="D201" s="5" t="s">
        <v>3299</v>
      </c>
      <c r="E201" s="8">
        <v>1</v>
      </c>
      <c r="F201" s="5" t="s">
        <v>132</v>
      </c>
      <c r="G201" s="5" t="s">
        <v>668</v>
      </c>
      <c r="H201" s="5" t="s">
        <v>1658</v>
      </c>
      <c r="I201" s="5"/>
      <c r="J201" s="5"/>
      <c r="K201" s="5" t="s">
        <v>3105</v>
      </c>
      <c r="L201" s="5" t="s">
        <v>276</v>
      </c>
      <c r="M201" s="5" t="s">
        <v>851</v>
      </c>
    </row>
    <row r="202" spans="1:13" ht="50.1" customHeight="1" x14ac:dyDescent="0.2">
      <c r="A202" s="5" t="s">
        <v>1662</v>
      </c>
      <c r="B202" s="5" t="s">
        <v>1663</v>
      </c>
      <c r="C202" s="5" t="s">
        <v>1665</v>
      </c>
      <c r="D202" s="5" t="s">
        <v>3300</v>
      </c>
      <c r="E202" s="8">
        <v>1</v>
      </c>
      <c r="F202" s="5" t="s">
        <v>132</v>
      </c>
      <c r="G202" s="5" t="s">
        <v>668</v>
      </c>
      <c r="H202" s="5" t="s">
        <v>1664</v>
      </c>
      <c r="I202" s="5"/>
      <c r="J202" s="5"/>
      <c r="K202" s="5" t="s">
        <v>3105</v>
      </c>
      <c r="L202" s="5" t="s">
        <v>276</v>
      </c>
      <c r="M202" s="5" t="s">
        <v>851</v>
      </c>
    </row>
    <row r="203" spans="1:13" ht="50.1" customHeight="1" x14ac:dyDescent="0.2">
      <c r="A203" s="5" t="s">
        <v>1670</v>
      </c>
      <c r="B203" s="5" t="s">
        <v>1671</v>
      </c>
      <c r="C203" s="5" t="s">
        <v>1673</v>
      </c>
      <c r="D203" s="5" t="s">
        <v>3301</v>
      </c>
      <c r="E203" s="8">
        <v>1</v>
      </c>
      <c r="F203" s="5" t="s">
        <v>132</v>
      </c>
      <c r="G203" s="5" t="s">
        <v>668</v>
      </c>
      <c r="H203" s="5" t="s">
        <v>1672</v>
      </c>
      <c r="I203" s="5"/>
      <c r="J203" s="5"/>
      <c r="K203" s="5" t="s">
        <v>3105</v>
      </c>
      <c r="L203" s="5" t="s">
        <v>276</v>
      </c>
      <c r="M203" s="5" t="s">
        <v>851</v>
      </c>
    </row>
    <row r="204" spans="1:13" ht="50.1" customHeight="1" x14ac:dyDescent="0.2">
      <c r="A204" s="5" t="s">
        <v>1678</v>
      </c>
      <c r="B204" s="5" t="s">
        <v>1679</v>
      </c>
      <c r="C204" s="5" t="s">
        <v>1681</v>
      </c>
      <c r="D204" s="5" t="s">
        <v>3302</v>
      </c>
      <c r="E204" s="8">
        <v>1</v>
      </c>
      <c r="F204" s="5" t="s">
        <v>132</v>
      </c>
      <c r="G204" s="5" t="s">
        <v>668</v>
      </c>
      <c r="H204" s="5" t="s">
        <v>1680</v>
      </c>
      <c r="I204" s="5"/>
      <c r="J204" s="5"/>
      <c r="K204" s="5" t="s">
        <v>3105</v>
      </c>
      <c r="L204" s="5" t="s">
        <v>276</v>
      </c>
      <c r="M204" s="5" t="s">
        <v>851</v>
      </c>
    </row>
    <row r="205" spans="1:13" ht="50.1" customHeight="1" x14ac:dyDescent="0.2">
      <c r="A205" s="5" t="s">
        <v>1686</v>
      </c>
      <c r="B205" s="5" t="s">
        <v>412</v>
      </c>
      <c r="C205" s="5" t="s">
        <v>1688</v>
      </c>
      <c r="D205" s="5" t="s">
        <v>3303</v>
      </c>
      <c r="E205" s="8">
        <v>1</v>
      </c>
      <c r="F205" s="5" t="s">
        <v>132</v>
      </c>
      <c r="G205" s="5" t="s">
        <v>668</v>
      </c>
      <c r="H205" s="5" t="s">
        <v>1687</v>
      </c>
      <c r="I205" s="5"/>
      <c r="J205" s="5"/>
      <c r="K205" s="5" t="s">
        <v>3105</v>
      </c>
      <c r="L205" s="5" t="s">
        <v>276</v>
      </c>
      <c r="M205" s="5" t="s">
        <v>851</v>
      </c>
    </row>
    <row r="206" spans="1:13" ht="50.1" customHeight="1" x14ac:dyDescent="0.2">
      <c r="A206" s="5" t="s">
        <v>1691</v>
      </c>
      <c r="B206" s="5" t="s">
        <v>1692</v>
      </c>
      <c r="C206" s="5" t="s">
        <v>1694</v>
      </c>
      <c r="D206" s="5" t="s">
        <v>3304</v>
      </c>
      <c r="E206" s="8">
        <v>1</v>
      </c>
      <c r="F206" s="5" t="s">
        <v>132</v>
      </c>
      <c r="G206" s="5" t="s">
        <v>668</v>
      </c>
      <c r="H206" s="5" t="s">
        <v>1693</v>
      </c>
      <c r="I206" s="5"/>
      <c r="J206" s="5"/>
      <c r="K206" s="5" t="s">
        <v>3105</v>
      </c>
      <c r="L206" s="5" t="s">
        <v>276</v>
      </c>
      <c r="M206" s="5" t="s">
        <v>851</v>
      </c>
    </row>
    <row r="207" spans="1:13" ht="50.1" customHeight="1" x14ac:dyDescent="0.2">
      <c r="A207" s="5" t="s">
        <v>1699</v>
      </c>
      <c r="B207" s="5" t="s">
        <v>1700</v>
      </c>
      <c r="C207" s="5" t="s">
        <v>1702</v>
      </c>
      <c r="D207" s="5" t="s">
        <v>3305</v>
      </c>
      <c r="E207" s="8">
        <v>1</v>
      </c>
      <c r="F207" s="5" t="s">
        <v>132</v>
      </c>
      <c r="G207" s="5" t="s">
        <v>668</v>
      </c>
      <c r="H207" s="5" t="s">
        <v>1701</v>
      </c>
      <c r="I207" s="5"/>
      <c r="J207" s="5"/>
      <c r="K207" s="5" t="s">
        <v>3105</v>
      </c>
      <c r="L207" s="5" t="s">
        <v>276</v>
      </c>
      <c r="M207" s="5" t="s">
        <v>851</v>
      </c>
    </row>
    <row r="208" spans="1:13" ht="50.1" customHeight="1" x14ac:dyDescent="0.2">
      <c r="A208" s="5" t="s">
        <v>1706</v>
      </c>
      <c r="B208" s="5" t="s">
        <v>1707</v>
      </c>
      <c r="C208" s="5" t="s">
        <v>1709</v>
      </c>
      <c r="D208" s="5" t="s">
        <v>3306</v>
      </c>
      <c r="E208" s="8">
        <v>1</v>
      </c>
      <c r="F208" s="5" t="s">
        <v>132</v>
      </c>
      <c r="G208" s="5" t="s">
        <v>668</v>
      </c>
      <c r="H208" s="5" t="s">
        <v>1708</v>
      </c>
      <c r="I208" s="5"/>
      <c r="J208" s="5"/>
      <c r="K208" s="5" t="s">
        <v>3105</v>
      </c>
      <c r="L208" s="5" t="s">
        <v>276</v>
      </c>
      <c r="M208" s="5" t="s">
        <v>851</v>
      </c>
    </row>
    <row r="209" spans="1:13" ht="50.1" customHeight="1" x14ac:dyDescent="0.2">
      <c r="A209" s="5" t="s">
        <v>1712</v>
      </c>
      <c r="B209" s="5" t="s">
        <v>356</v>
      </c>
      <c r="C209" s="5" t="s">
        <v>1714</v>
      </c>
      <c r="D209" s="5" t="s">
        <v>3307</v>
      </c>
      <c r="E209" s="8">
        <v>1</v>
      </c>
      <c r="F209" s="5" t="s">
        <v>132</v>
      </c>
      <c r="G209" s="5" t="s">
        <v>668</v>
      </c>
      <c r="H209" s="5" t="s">
        <v>1713</v>
      </c>
      <c r="I209" s="5"/>
      <c r="J209" s="5"/>
      <c r="K209" s="5" t="s">
        <v>3105</v>
      </c>
      <c r="L209" s="5" t="s">
        <v>276</v>
      </c>
      <c r="M209" s="5" t="s">
        <v>851</v>
      </c>
    </row>
    <row r="210" spans="1:13" ht="50.1" customHeight="1" x14ac:dyDescent="0.2">
      <c r="A210" s="5" t="s">
        <v>1717</v>
      </c>
      <c r="B210" s="5" t="s">
        <v>368</v>
      </c>
      <c r="C210" s="5" t="s">
        <v>1719</v>
      </c>
      <c r="D210" s="5" t="s">
        <v>3308</v>
      </c>
      <c r="E210" s="8">
        <v>1</v>
      </c>
      <c r="F210" s="5" t="s">
        <v>132</v>
      </c>
      <c r="G210" s="5" t="s">
        <v>668</v>
      </c>
      <c r="H210" s="5" t="s">
        <v>1718</v>
      </c>
      <c r="I210" s="5"/>
      <c r="J210" s="5"/>
      <c r="K210" s="5" t="s">
        <v>3105</v>
      </c>
      <c r="L210" s="5" t="s">
        <v>276</v>
      </c>
      <c r="M210" s="5" t="s">
        <v>851</v>
      </c>
    </row>
    <row r="211" spans="1:13" ht="50.1" customHeight="1" x14ac:dyDescent="0.2">
      <c r="A211" s="5" t="s">
        <v>1722</v>
      </c>
      <c r="B211" s="5" t="s">
        <v>376</v>
      </c>
      <c r="C211" s="5" t="s">
        <v>1724</v>
      </c>
      <c r="D211" s="5" t="s">
        <v>3309</v>
      </c>
      <c r="E211" s="8">
        <v>1</v>
      </c>
      <c r="F211" s="5" t="s">
        <v>132</v>
      </c>
      <c r="G211" s="5" t="s">
        <v>668</v>
      </c>
      <c r="H211" s="5" t="s">
        <v>1723</v>
      </c>
      <c r="I211" s="5"/>
      <c r="J211" s="5"/>
      <c r="K211" s="5" t="s">
        <v>3105</v>
      </c>
      <c r="L211" s="5" t="s">
        <v>276</v>
      </c>
      <c r="M211" s="5" t="s">
        <v>851</v>
      </c>
    </row>
    <row r="212" spans="1:13" ht="50.1" customHeight="1" x14ac:dyDescent="0.2">
      <c r="A212" s="5" t="s">
        <v>1727</v>
      </c>
      <c r="B212" s="5" t="s">
        <v>818</v>
      </c>
      <c r="C212" s="5" t="s">
        <v>1729</v>
      </c>
      <c r="D212" s="5" t="s">
        <v>3310</v>
      </c>
      <c r="E212" s="8">
        <v>1</v>
      </c>
      <c r="F212" s="5" t="s">
        <v>132</v>
      </c>
      <c r="G212" s="5" t="s">
        <v>668</v>
      </c>
      <c r="H212" s="5" t="s">
        <v>1728</v>
      </c>
      <c r="I212" s="5"/>
      <c r="J212" s="5"/>
      <c r="K212" s="5" t="s">
        <v>3105</v>
      </c>
      <c r="L212" s="5" t="s">
        <v>276</v>
      </c>
      <c r="M212" s="5" t="s">
        <v>851</v>
      </c>
    </row>
    <row r="213" spans="1:13" ht="50.1" customHeight="1" x14ac:dyDescent="0.2">
      <c r="A213" s="5" t="s">
        <v>1732</v>
      </c>
      <c r="B213" s="5" t="s">
        <v>412</v>
      </c>
      <c r="C213" s="5" t="s">
        <v>1734</v>
      </c>
      <c r="D213" s="5" t="s">
        <v>3311</v>
      </c>
      <c r="E213" s="8">
        <v>1</v>
      </c>
      <c r="F213" s="5" t="s">
        <v>132</v>
      </c>
      <c r="G213" s="5" t="s">
        <v>668</v>
      </c>
      <c r="H213" s="5" t="s">
        <v>1733</v>
      </c>
      <c r="I213" s="5"/>
      <c r="J213" s="5"/>
      <c r="K213" s="5" t="s">
        <v>3105</v>
      </c>
      <c r="L213" s="5" t="s">
        <v>276</v>
      </c>
      <c r="M213" s="5" t="s">
        <v>851</v>
      </c>
    </row>
    <row r="214" spans="1:13" ht="50.1" customHeight="1" x14ac:dyDescent="0.2">
      <c r="A214" s="5" t="s">
        <v>1737</v>
      </c>
      <c r="B214" s="5" t="s">
        <v>1738</v>
      </c>
      <c r="C214" s="5" t="s">
        <v>1740</v>
      </c>
      <c r="D214" s="5" t="s">
        <v>3312</v>
      </c>
      <c r="E214" s="8">
        <v>1</v>
      </c>
      <c r="F214" s="5" t="s">
        <v>132</v>
      </c>
      <c r="G214" s="5" t="s">
        <v>668</v>
      </c>
      <c r="H214" s="5" t="s">
        <v>1739</v>
      </c>
      <c r="I214" s="5"/>
      <c r="J214" s="5"/>
      <c r="K214" s="5" t="s">
        <v>3105</v>
      </c>
      <c r="L214" s="5" t="s">
        <v>276</v>
      </c>
      <c r="M214" s="5" t="s">
        <v>851</v>
      </c>
    </row>
    <row r="215" spans="1:13" ht="50.1" customHeight="1" x14ac:dyDescent="0.2">
      <c r="A215" s="5" t="s">
        <v>1745</v>
      </c>
      <c r="B215" s="5" t="s">
        <v>1746</v>
      </c>
      <c r="C215" s="5" t="s">
        <v>1748</v>
      </c>
      <c r="D215" s="5" t="s">
        <v>3313</v>
      </c>
      <c r="E215" s="8">
        <v>1</v>
      </c>
      <c r="F215" s="5" t="s">
        <v>132</v>
      </c>
      <c r="G215" s="5" t="s">
        <v>668</v>
      </c>
      <c r="H215" s="5" t="s">
        <v>1747</v>
      </c>
      <c r="I215" s="5"/>
      <c r="J215" s="5"/>
      <c r="K215" s="5" t="s">
        <v>3105</v>
      </c>
      <c r="L215" s="5" t="s">
        <v>276</v>
      </c>
      <c r="M215" s="5" t="s">
        <v>851</v>
      </c>
    </row>
    <row r="216" spans="1:13" ht="50.1" customHeight="1" x14ac:dyDescent="0.2">
      <c r="A216" s="5" t="s">
        <v>1753</v>
      </c>
      <c r="B216" s="5" t="s">
        <v>1754</v>
      </c>
      <c r="C216" s="5" t="s">
        <v>1756</v>
      </c>
      <c r="D216" s="5" t="s">
        <v>3314</v>
      </c>
      <c r="E216" s="8">
        <v>1</v>
      </c>
      <c r="F216" s="5" t="s">
        <v>132</v>
      </c>
      <c r="G216" s="5" t="s">
        <v>668</v>
      </c>
      <c r="H216" s="5" t="s">
        <v>1755</v>
      </c>
      <c r="I216" s="5"/>
      <c r="J216" s="5"/>
      <c r="K216" s="5" t="s">
        <v>3105</v>
      </c>
      <c r="L216" s="5" t="s">
        <v>276</v>
      </c>
      <c r="M216" s="5" t="s">
        <v>851</v>
      </c>
    </row>
    <row r="217" spans="1:13" ht="50.1" customHeight="1" x14ac:dyDescent="0.2">
      <c r="A217" s="5" t="s">
        <v>1761</v>
      </c>
      <c r="B217" s="5" t="s">
        <v>1700</v>
      </c>
      <c r="C217" s="5" t="s">
        <v>1763</v>
      </c>
      <c r="D217" s="5" t="s">
        <v>3315</v>
      </c>
      <c r="E217" s="8">
        <v>1</v>
      </c>
      <c r="F217" s="5" t="s">
        <v>132</v>
      </c>
      <c r="G217" s="5" t="s">
        <v>668</v>
      </c>
      <c r="H217" s="5" t="s">
        <v>1762</v>
      </c>
      <c r="I217" s="5"/>
      <c r="J217" s="5"/>
      <c r="K217" s="5" t="s">
        <v>3105</v>
      </c>
      <c r="L217" s="5" t="s">
        <v>276</v>
      </c>
      <c r="M217" s="5" t="s">
        <v>851</v>
      </c>
    </row>
    <row r="218" spans="1:13" ht="50.1" customHeight="1" x14ac:dyDescent="0.2">
      <c r="A218" s="5" t="s">
        <v>1766</v>
      </c>
      <c r="B218" s="5" t="s">
        <v>1767</v>
      </c>
      <c r="C218" s="5" t="s">
        <v>1769</v>
      </c>
      <c r="D218" s="5" t="s">
        <v>3316</v>
      </c>
      <c r="E218" s="8">
        <v>1</v>
      </c>
      <c r="F218" s="5" t="s">
        <v>132</v>
      </c>
      <c r="G218" s="5" t="s">
        <v>668</v>
      </c>
      <c r="H218" s="5" t="s">
        <v>1768</v>
      </c>
      <c r="I218" s="5"/>
      <c r="J218" s="5"/>
      <c r="K218" s="5" t="s">
        <v>3105</v>
      </c>
      <c r="L218" s="5" t="s">
        <v>276</v>
      </c>
      <c r="M218" s="5" t="s">
        <v>851</v>
      </c>
    </row>
    <row r="219" spans="1:13" ht="50.1" customHeight="1" x14ac:dyDescent="0.2">
      <c r="A219" s="5" t="s">
        <v>1774</v>
      </c>
      <c r="B219" s="5" t="s">
        <v>1775</v>
      </c>
      <c r="C219" s="5" t="s">
        <v>1777</v>
      </c>
      <c r="D219" s="5" t="s">
        <v>3317</v>
      </c>
      <c r="E219" s="8">
        <v>1</v>
      </c>
      <c r="F219" s="5" t="s">
        <v>132</v>
      </c>
      <c r="G219" s="5" t="s">
        <v>668</v>
      </c>
      <c r="H219" s="5" t="s">
        <v>1776</v>
      </c>
      <c r="I219" s="5"/>
      <c r="J219" s="5"/>
      <c r="K219" s="5" t="s">
        <v>3105</v>
      </c>
      <c r="L219" s="5" t="s">
        <v>276</v>
      </c>
      <c r="M219" s="5" t="s">
        <v>851</v>
      </c>
    </row>
    <row r="220" spans="1:13" ht="50.1" customHeight="1" x14ac:dyDescent="0.2">
      <c r="A220" s="5" t="s">
        <v>1782</v>
      </c>
      <c r="B220" s="5" t="s">
        <v>1783</v>
      </c>
      <c r="C220" s="5" t="s">
        <v>1785</v>
      </c>
      <c r="D220" s="5" t="s">
        <v>3318</v>
      </c>
      <c r="E220" s="8">
        <v>1</v>
      </c>
      <c r="F220" s="5" t="s">
        <v>132</v>
      </c>
      <c r="G220" s="5" t="s">
        <v>668</v>
      </c>
      <c r="H220" s="5" t="s">
        <v>1784</v>
      </c>
      <c r="I220" s="5"/>
      <c r="J220" s="5"/>
      <c r="K220" s="5" t="s">
        <v>3105</v>
      </c>
      <c r="L220" s="5" t="s">
        <v>276</v>
      </c>
      <c r="M220" s="5" t="s">
        <v>851</v>
      </c>
    </row>
    <row r="221" spans="1:13" ht="50.1" customHeight="1" x14ac:dyDescent="0.2">
      <c r="A221" s="5" t="s">
        <v>1789</v>
      </c>
      <c r="B221" s="5" t="s">
        <v>1790</v>
      </c>
      <c r="C221" s="5" t="s">
        <v>1792</v>
      </c>
      <c r="D221" s="5" t="s">
        <v>3319</v>
      </c>
      <c r="E221" s="8">
        <v>1</v>
      </c>
      <c r="F221" s="5" t="s">
        <v>132</v>
      </c>
      <c r="G221" s="5" t="s">
        <v>668</v>
      </c>
      <c r="H221" s="5" t="s">
        <v>1791</v>
      </c>
      <c r="I221" s="5"/>
      <c r="J221" s="5"/>
      <c r="K221" s="5" t="s">
        <v>3105</v>
      </c>
      <c r="L221" s="5" t="s">
        <v>276</v>
      </c>
      <c r="M221" s="5" t="s">
        <v>851</v>
      </c>
    </row>
    <row r="222" spans="1:13" ht="50.1" customHeight="1" x14ac:dyDescent="0.2">
      <c r="A222" s="5" t="s">
        <v>1795</v>
      </c>
      <c r="B222" s="5" t="s">
        <v>356</v>
      </c>
      <c r="C222" s="5" t="s">
        <v>1797</v>
      </c>
      <c r="D222" s="5" t="s">
        <v>3320</v>
      </c>
      <c r="E222" s="8">
        <v>1</v>
      </c>
      <c r="F222" s="5" t="s">
        <v>132</v>
      </c>
      <c r="G222" s="5" t="s">
        <v>668</v>
      </c>
      <c r="H222" s="5" t="s">
        <v>1796</v>
      </c>
      <c r="I222" s="5"/>
      <c r="J222" s="5"/>
      <c r="K222" s="5" t="s">
        <v>3105</v>
      </c>
      <c r="L222" s="5" t="s">
        <v>276</v>
      </c>
      <c r="M222" s="5" t="s">
        <v>851</v>
      </c>
    </row>
    <row r="223" spans="1:13" ht="50.1" customHeight="1" x14ac:dyDescent="0.2">
      <c r="A223" s="5" t="s">
        <v>1800</v>
      </c>
      <c r="B223" s="5" t="s">
        <v>368</v>
      </c>
      <c r="C223" s="5" t="s">
        <v>1802</v>
      </c>
      <c r="D223" s="5" t="s">
        <v>3321</v>
      </c>
      <c r="E223" s="8">
        <v>1</v>
      </c>
      <c r="F223" s="5" t="s">
        <v>132</v>
      </c>
      <c r="G223" s="5" t="s">
        <v>668</v>
      </c>
      <c r="H223" s="5" t="s">
        <v>1801</v>
      </c>
      <c r="I223" s="5"/>
      <c r="J223" s="5"/>
      <c r="K223" s="5" t="s">
        <v>3105</v>
      </c>
      <c r="L223" s="5" t="s">
        <v>276</v>
      </c>
      <c r="M223" s="5" t="s">
        <v>851</v>
      </c>
    </row>
    <row r="224" spans="1:13" ht="50.1" customHeight="1" x14ac:dyDescent="0.2">
      <c r="A224" s="5" t="s">
        <v>1805</v>
      </c>
      <c r="B224" s="5" t="s">
        <v>376</v>
      </c>
      <c r="C224" s="5" t="s">
        <v>1807</v>
      </c>
      <c r="D224" s="5" t="s">
        <v>3322</v>
      </c>
      <c r="E224" s="8">
        <v>1</v>
      </c>
      <c r="F224" s="5" t="s">
        <v>132</v>
      </c>
      <c r="G224" s="5" t="s">
        <v>668</v>
      </c>
      <c r="H224" s="5" t="s">
        <v>1806</v>
      </c>
      <c r="I224" s="5"/>
      <c r="J224" s="5"/>
      <c r="K224" s="5" t="s">
        <v>3105</v>
      </c>
      <c r="L224" s="5" t="s">
        <v>276</v>
      </c>
      <c r="M224" s="5" t="s">
        <v>851</v>
      </c>
    </row>
    <row r="225" spans="1:13" ht="50.1" customHeight="1" x14ac:dyDescent="0.2">
      <c r="A225" s="5" t="s">
        <v>1810</v>
      </c>
      <c r="B225" s="5" t="s">
        <v>500</v>
      </c>
      <c r="C225" s="5" t="s">
        <v>1812</v>
      </c>
      <c r="D225" s="5" t="s">
        <v>3323</v>
      </c>
      <c r="E225" s="8">
        <v>1</v>
      </c>
      <c r="F225" s="5" t="s">
        <v>132</v>
      </c>
      <c r="G225" s="5" t="s">
        <v>668</v>
      </c>
      <c r="H225" s="5" t="s">
        <v>1811</v>
      </c>
      <c r="I225" s="5"/>
      <c r="J225" s="5"/>
      <c r="K225" s="5" t="s">
        <v>3105</v>
      </c>
      <c r="L225" s="5" t="s">
        <v>276</v>
      </c>
      <c r="M225" s="5" t="s">
        <v>851</v>
      </c>
    </row>
    <row r="226" spans="1:13" ht="50.1" customHeight="1" x14ac:dyDescent="0.2">
      <c r="A226" s="5" t="s">
        <v>1815</v>
      </c>
      <c r="B226" s="5" t="s">
        <v>1816</v>
      </c>
      <c r="C226" s="5" t="s">
        <v>1818</v>
      </c>
      <c r="D226" s="5" t="s">
        <v>3324</v>
      </c>
      <c r="E226" s="8">
        <v>1</v>
      </c>
      <c r="F226" s="5" t="s">
        <v>132</v>
      </c>
      <c r="G226" s="5" t="s">
        <v>668</v>
      </c>
      <c r="H226" s="5" t="s">
        <v>1817</v>
      </c>
      <c r="I226" s="5"/>
      <c r="J226" s="5"/>
      <c r="K226" s="5" t="s">
        <v>3105</v>
      </c>
      <c r="L226" s="5" t="s">
        <v>276</v>
      </c>
      <c r="M226" s="5" t="s">
        <v>851</v>
      </c>
    </row>
    <row r="227" spans="1:13" ht="50.1" customHeight="1" x14ac:dyDescent="0.2">
      <c r="A227" s="5" t="s">
        <v>1822</v>
      </c>
      <c r="B227" s="5" t="s">
        <v>420</v>
      </c>
      <c r="C227" s="5" t="s">
        <v>1824</v>
      </c>
      <c r="D227" s="5" t="s">
        <v>3325</v>
      </c>
      <c r="E227" s="8">
        <v>1</v>
      </c>
      <c r="F227" s="5" t="s">
        <v>132</v>
      </c>
      <c r="G227" s="5" t="s">
        <v>668</v>
      </c>
      <c r="H227" s="5" t="s">
        <v>1823</v>
      </c>
      <c r="I227" s="5"/>
      <c r="J227" s="5"/>
      <c r="K227" s="5" t="s">
        <v>3105</v>
      </c>
      <c r="L227" s="5" t="s">
        <v>276</v>
      </c>
      <c r="M227" s="5" t="s">
        <v>851</v>
      </c>
    </row>
    <row r="228" spans="1:13" ht="50.1" customHeight="1" x14ac:dyDescent="0.2">
      <c r="A228" s="5" t="s">
        <v>1827</v>
      </c>
      <c r="B228" s="5" t="s">
        <v>1828</v>
      </c>
      <c r="C228" s="5" t="s">
        <v>1830</v>
      </c>
      <c r="D228" s="5" t="s">
        <v>3326</v>
      </c>
      <c r="E228" s="8">
        <v>1</v>
      </c>
      <c r="F228" s="5" t="s">
        <v>132</v>
      </c>
      <c r="G228" s="5" t="s">
        <v>668</v>
      </c>
      <c r="H228" s="5" t="s">
        <v>1829</v>
      </c>
      <c r="I228" s="5"/>
      <c r="J228" s="5"/>
      <c r="K228" s="5" t="s">
        <v>3105</v>
      </c>
      <c r="L228" s="5" t="s">
        <v>276</v>
      </c>
      <c r="M228" s="5" t="s">
        <v>851</v>
      </c>
    </row>
    <row r="229" spans="1:13" ht="50.1" customHeight="1" x14ac:dyDescent="0.2">
      <c r="A229" s="5" t="s">
        <v>1834</v>
      </c>
      <c r="B229" s="5" t="s">
        <v>420</v>
      </c>
      <c r="C229" s="5" t="s">
        <v>1836</v>
      </c>
      <c r="D229" s="5" t="s">
        <v>3327</v>
      </c>
      <c r="E229" s="8">
        <v>1</v>
      </c>
      <c r="F229" s="5" t="s">
        <v>132</v>
      </c>
      <c r="G229" s="5" t="s">
        <v>668</v>
      </c>
      <c r="H229" s="5" t="s">
        <v>1835</v>
      </c>
      <c r="I229" s="5"/>
      <c r="J229" s="5"/>
      <c r="K229" s="5" t="s">
        <v>3105</v>
      </c>
      <c r="L229" s="5" t="s">
        <v>276</v>
      </c>
      <c r="M229" s="5" t="s">
        <v>851</v>
      </c>
    </row>
    <row r="230" spans="1:13" ht="50.1" customHeight="1" x14ac:dyDescent="0.2">
      <c r="A230" s="5" t="s">
        <v>1839</v>
      </c>
      <c r="B230" s="5" t="s">
        <v>1840</v>
      </c>
      <c r="C230" s="5" t="s">
        <v>1842</v>
      </c>
      <c r="D230" s="5" t="s">
        <v>3328</v>
      </c>
      <c r="E230" s="8">
        <v>1</v>
      </c>
      <c r="F230" s="5" t="s">
        <v>132</v>
      </c>
      <c r="G230" s="5" t="s">
        <v>668</v>
      </c>
      <c r="H230" s="5" t="s">
        <v>1841</v>
      </c>
      <c r="I230" s="5"/>
      <c r="J230" s="5"/>
      <c r="K230" s="5" t="s">
        <v>3105</v>
      </c>
      <c r="L230" s="5" t="s">
        <v>276</v>
      </c>
      <c r="M230" s="5" t="s">
        <v>851</v>
      </c>
    </row>
    <row r="231" spans="1:13" ht="50.1" customHeight="1" x14ac:dyDescent="0.2">
      <c r="A231" s="5" t="s">
        <v>1846</v>
      </c>
      <c r="B231" s="5" t="s">
        <v>1767</v>
      </c>
      <c r="C231" s="5" t="s">
        <v>1848</v>
      </c>
      <c r="D231" s="5" t="s">
        <v>3329</v>
      </c>
      <c r="E231" s="8">
        <v>1</v>
      </c>
      <c r="F231" s="5" t="s">
        <v>132</v>
      </c>
      <c r="G231" s="5" t="s">
        <v>668</v>
      </c>
      <c r="H231" s="5" t="s">
        <v>1847</v>
      </c>
      <c r="I231" s="5"/>
      <c r="J231" s="5"/>
      <c r="K231" s="5" t="s">
        <v>3105</v>
      </c>
      <c r="L231" s="5" t="s">
        <v>276</v>
      </c>
      <c r="M231" s="5" t="s">
        <v>851</v>
      </c>
    </row>
    <row r="232" spans="1:13" ht="50.1" customHeight="1" x14ac:dyDescent="0.2">
      <c r="A232" s="5" t="s">
        <v>1851</v>
      </c>
      <c r="B232" s="5" t="s">
        <v>1852</v>
      </c>
      <c r="C232" s="5" t="s">
        <v>1854</v>
      </c>
      <c r="D232" s="5" t="s">
        <v>3330</v>
      </c>
      <c r="E232" s="8">
        <v>1</v>
      </c>
      <c r="F232" s="5" t="s">
        <v>132</v>
      </c>
      <c r="G232" s="5" t="s">
        <v>668</v>
      </c>
      <c r="H232" s="5" t="s">
        <v>1853</v>
      </c>
      <c r="I232" s="5"/>
      <c r="J232" s="5"/>
      <c r="K232" s="5" t="s">
        <v>3105</v>
      </c>
      <c r="L232" s="5" t="s">
        <v>276</v>
      </c>
      <c r="M232" s="5" t="s">
        <v>851</v>
      </c>
    </row>
    <row r="233" spans="1:13" ht="50.1" customHeight="1" x14ac:dyDescent="0.2">
      <c r="A233" s="5" t="s">
        <v>1859</v>
      </c>
      <c r="B233" s="5" t="s">
        <v>1860</v>
      </c>
      <c r="C233" s="5" t="s">
        <v>1862</v>
      </c>
      <c r="D233" s="5" t="s">
        <v>3331</v>
      </c>
      <c r="E233" s="8">
        <v>1</v>
      </c>
      <c r="F233" s="5" t="s">
        <v>132</v>
      </c>
      <c r="G233" s="5" t="s">
        <v>668</v>
      </c>
      <c r="H233" s="5" t="s">
        <v>1861</v>
      </c>
      <c r="I233" s="5"/>
      <c r="J233" s="5"/>
      <c r="K233" s="5" t="s">
        <v>3105</v>
      </c>
      <c r="L233" s="5" t="s">
        <v>276</v>
      </c>
      <c r="M233" s="5" t="s">
        <v>851</v>
      </c>
    </row>
    <row r="234" spans="1:13" ht="50.1" customHeight="1" x14ac:dyDescent="0.2">
      <c r="A234" s="5" t="s">
        <v>1867</v>
      </c>
      <c r="B234" s="5" t="s">
        <v>1868</v>
      </c>
      <c r="C234" s="5" t="s">
        <v>1870</v>
      </c>
      <c r="D234" s="5" t="s">
        <v>3332</v>
      </c>
      <c r="E234" s="8">
        <v>1</v>
      </c>
      <c r="F234" s="5" t="s">
        <v>132</v>
      </c>
      <c r="G234" s="5" t="s">
        <v>668</v>
      </c>
      <c r="H234" s="5" t="s">
        <v>1869</v>
      </c>
      <c r="I234" s="5"/>
      <c r="J234" s="5"/>
      <c r="K234" s="5" t="s">
        <v>3105</v>
      </c>
      <c r="L234" s="5" t="s">
        <v>276</v>
      </c>
      <c r="M234" s="5" t="s">
        <v>851</v>
      </c>
    </row>
    <row r="235" spans="1:13" ht="50.1" customHeight="1" x14ac:dyDescent="0.2">
      <c r="A235" s="5" t="s">
        <v>1872</v>
      </c>
      <c r="B235" s="5" t="s">
        <v>356</v>
      </c>
      <c r="C235" s="5" t="s">
        <v>1874</v>
      </c>
      <c r="D235" s="5" t="s">
        <v>3333</v>
      </c>
      <c r="E235" s="8">
        <v>1</v>
      </c>
      <c r="F235" s="5" t="s">
        <v>132</v>
      </c>
      <c r="G235" s="5" t="s">
        <v>668</v>
      </c>
      <c r="H235" s="5" t="s">
        <v>1873</v>
      </c>
      <c r="I235" s="5"/>
      <c r="J235" s="5"/>
      <c r="K235" s="5" t="s">
        <v>3105</v>
      </c>
      <c r="L235" s="5" t="s">
        <v>276</v>
      </c>
      <c r="M235" s="5" t="s">
        <v>851</v>
      </c>
    </row>
    <row r="236" spans="1:13" ht="50.1" customHeight="1" x14ac:dyDescent="0.2">
      <c r="A236" s="5" t="s">
        <v>1877</v>
      </c>
      <c r="B236" s="5" t="s">
        <v>368</v>
      </c>
      <c r="C236" s="5" t="s">
        <v>1879</v>
      </c>
      <c r="D236" s="5" t="s">
        <v>3334</v>
      </c>
      <c r="E236" s="8">
        <v>1</v>
      </c>
      <c r="F236" s="5" t="s">
        <v>132</v>
      </c>
      <c r="G236" s="5" t="s">
        <v>668</v>
      </c>
      <c r="H236" s="5" t="s">
        <v>1878</v>
      </c>
      <c r="I236" s="5"/>
      <c r="J236" s="5"/>
      <c r="K236" s="5" t="s">
        <v>3105</v>
      </c>
      <c r="L236" s="5" t="s">
        <v>276</v>
      </c>
      <c r="M236" s="5" t="s">
        <v>851</v>
      </c>
    </row>
    <row r="237" spans="1:13" ht="50.1" customHeight="1" x14ac:dyDescent="0.2">
      <c r="A237" s="5" t="s">
        <v>1882</v>
      </c>
      <c r="B237" s="5" t="s">
        <v>376</v>
      </c>
      <c r="C237" s="5" t="s">
        <v>1884</v>
      </c>
      <c r="D237" s="5" t="s">
        <v>3335</v>
      </c>
      <c r="E237" s="8">
        <v>1</v>
      </c>
      <c r="F237" s="5" t="s">
        <v>132</v>
      </c>
      <c r="G237" s="5" t="s">
        <v>668</v>
      </c>
      <c r="H237" s="5" t="s">
        <v>1883</v>
      </c>
      <c r="I237" s="5"/>
      <c r="J237" s="5"/>
      <c r="K237" s="5" t="s">
        <v>3105</v>
      </c>
      <c r="L237" s="5" t="s">
        <v>276</v>
      </c>
      <c r="M237" s="5" t="s">
        <v>851</v>
      </c>
    </row>
    <row r="238" spans="1:13" ht="50.1" customHeight="1" x14ac:dyDescent="0.2">
      <c r="A238" s="5" t="s">
        <v>1887</v>
      </c>
      <c r="B238" s="5" t="s">
        <v>1888</v>
      </c>
      <c r="C238" s="5" t="s">
        <v>1890</v>
      </c>
      <c r="D238" s="5" t="s">
        <v>3336</v>
      </c>
      <c r="E238" s="8">
        <v>1</v>
      </c>
      <c r="F238" s="5" t="s">
        <v>132</v>
      </c>
      <c r="G238" s="5" t="s">
        <v>668</v>
      </c>
      <c r="H238" s="5" t="s">
        <v>1889</v>
      </c>
      <c r="I238" s="5"/>
      <c r="J238" s="5"/>
      <c r="K238" s="5" t="s">
        <v>3105</v>
      </c>
      <c r="L238" s="5" t="s">
        <v>276</v>
      </c>
      <c r="M238" s="5" t="s">
        <v>851</v>
      </c>
    </row>
    <row r="239" spans="1:13" ht="50.1" customHeight="1" x14ac:dyDescent="0.2">
      <c r="A239" s="5" t="s">
        <v>1895</v>
      </c>
      <c r="B239" s="5" t="s">
        <v>1896</v>
      </c>
      <c r="C239" s="5" t="s">
        <v>1898</v>
      </c>
      <c r="D239" s="5" t="s">
        <v>3337</v>
      </c>
      <c r="E239" s="8">
        <v>1</v>
      </c>
      <c r="F239" s="5" t="s">
        <v>132</v>
      </c>
      <c r="G239" s="5" t="s">
        <v>668</v>
      </c>
      <c r="H239" s="5" t="s">
        <v>1897</v>
      </c>
      <c r="I239" s="5"/>
      <c r="J239" s="5"/>
      <c r="K239" s="5" t="s">
        <v>3105</v>
      </c>
      <c r="L239" s="5" t="s">
        <v>276</v>
      </c>
      <c r="M239" s="5" t="s">
        <v>851</v>
      </c>
    </row>
    <row r="240" spans="1:13" ht="50.1" customHeight="1" x14ac:dyDescent="0.2">
      <c r="A240" s="5" t="s">
        <v>1903</v>
      </c>
      <c r="B240" s="5" t="s">
        <v>1904</v>
      </c>
      <c r="C240" s="5" t="s">
        <v>1906</v>
      </c>
      <c r="D240" s="5" t="s">
        <v>3338</v>
      </c>
      <c r="E240" s="8">
        <v>1</v>
      </c>
      <c r="F240" s="5" t="s">
        <v>132</v>
      </c>
      <c r="G240" s="5" t="s">
        <v>668</v>
      </c>
      <c r="H240" s="5" t="s">
        <v>1905</v>
      </c>
      <c r="I240" s="5"/>
      <c r="J240" s="5"/>
      <c r="K240" s="5" t="s">
        <v>3105</v>
      </c>
      <c r="L240" s="5" t="s">
        <v>276</v>
      </c>
      <c r="M240" s="5" t="s">
        <v>851</v>
      </c>
    </row>
    <row r="241" spans="1:13" ht="50.1" customHeight="1" x14ac:dyDescent="0.2">
      <c r="A241" s="5" t="s">
        <v>1910</v>
      </c>
      <c r="B241" s="5" t="s">
        <v>1911</v>
      </c>
      <c r="C241" s="5" t="s">
        <v>1913</v>
      </c>
      <c r="D241" s="5" t="s">
        <v>3339</v>
      </c>
      <c r="E241" s="8">
        <v>1</v>
      </c>
      <c r="F241" s="5" t="s">
        <v>132</v>
      </c>
      <c r="G241" s="5" t="s">
        <v>668</v>
      </c>
      <c r="H241" s="5" t="s">
        <v>1912</v>
      </c>
      <c r="I241" s="5"/>
      <c r="J241" s="5"/>
      <c r="K241" s="5" t="s">
        <v>3105</v>
      </c>
      <c r="L241" s="5" t="s">
        <v>276</v>
      </c>
      <c r="M241" s="5" t="s">
        <v>851</v>
      </c>
    </row>
    <row r="242" spans="1:13" ht="50.1" customHeight="1" x14ac:dyDescent="0.2">
      <c r="A242" s="5" t="s">
        <v>1918</v>
      </c>
      <c r="B242" s="5" t="s">
        <v>1919</v>
      </c>
      <c r="C242" s="5" t="s">
        <v>1921</v>
      </c>
      <c r="D242" s="5" t="s">
        <v>3340</v>
      </c>
      <c r="E242" s="8">
        <v>1</v>
      </c>
      <c r="F242" s="5" t="s">
        <v>132</v>
      </c>
      <c r="G242" s="5" t="s">
        <v>668</v>
      </c>
      <c r="H242" s="5" t="s">
        <v>1920</v>
      </c>
      <c r="I242" s="5"/>
      <c r="J242" s="5"/>
      <c r="K242" s="5" t="s">
        <v>3105</v>
      </c>
      <c r="L242" s="5" t="s">
        <v>276</v>
      </c>
      <c r="M242" s="5" t="s">
        <v>851</v>
      </c>
    </row>
    <row r="243" spans="1:13" ht="50.1" customHeight="1" x14ac:dyDescent="0.2">
      <c r="A243" s="5" t="s">
        <v>1926</v>
      </c>
      <c r="B243" s="5" t="s">
        <v>1927</v>
      </c>
      <c r="C243" s="5" t="s">
        <v>1929</v>
      </c>
      <c r="D243" s="5" t="s">
        <v>3341</v>
      </c>
      <c r="E243" s="8">
        <v>1</v>
      </c>
      <c r="F243" s="5" t="s">
        <v>132</v>
      </c>
      <c r="G243" s="5" t="s">
        <v>668</v>
      </c>
      <c r="H243" s="5" t="s">
        <v>1928</v>
      </c>
      <c r="I243" s="5"/>
      <c r="J243" s="5"/>
      <c r="K243" s="5" t="s">
        <v>3105</v>
      </c>
      <c r="L243" s="5" t="s">
        <v>276</v>
      </c>
      <c r="M243" s="5" t="s">
        <v>851</v>
      </c>
    </row>
    <row r="244" spans="1:13" ht="50.1" customHeight="1" x14ac:dyDescent="0.2">
      <c r="A244" s="5" t="s">
        <v>1934</v>
      </c>
      <c r="B244" s="5" t="s">
        <v>1935</v>
      </c>
      <c r="C244" s="5" t="s">
        <v>1937</v>
      </c>
      <c r="D244" s="5" t="s">
        <v>3342</v>
      </c>
      <c r="E244" s="8">
        <v>1</v>
      </c>
      <c r="F244" s="5" t="s">
        <v>132</v>
      </c>
      <c r="G244" s="5" t="s">
        <v>668</v>
      </c>
      <c r="H244" s="5" t="s">
        <v>1936</v>
      </c>
      <c r="I244" s="5"/>
      <c r="J244" s="5"/>
      <c r="K244" s="5" t="s">
        <v>3105</v>
      </c>
      <c r="L244" s="5" t="s">
        <v>276</v>
      </c>
      <c r="M244" s="5" t="s">
        <v>851</v>
      </c>
    </row>
    <row r="245" spans="1:13" ht="50.1" customHeight="1" x14ac:dyDescent="0.2">
      <c r="A245" s="5" t="s">
        <v>1942</v>
      </c>
      <c r="B245" s="5" t="s">
        <v>1943</v>
      </c>
      <c r="C245" s="5" t="s">
        <v>1945</v>
      </c>
      <c r="D245" s="5" t="s">
        <v>3343</v>
      </c>
      <c r="E245" s="8">
        <v>1</v>
      </c>
      <c r="F245" s="5" t="s">
        <v>132</v>
      </c>
      <c r="G245" s="5" t="s">
        <v>668</v>
      </c>
      <c r="H245" s="5" t="s">
        <v>1944</v>
      </c>
      <c r="I245" s="5"/>
      <c r="J245" s="5"/>
      <c r="K245" s="5" t="s">
        <v>3105</v>
      </c>
      <c r="L245" s="5" t="s">
        <v>276</v>
      </c>
      <c r="M245" s="5" t="s">
        <v>851</v>
      </c>
    </row>
    <row r="246" spans="1:13" ht="50.1" customHeight="1" x14ac:dyDescent="0.2">
      <c r="A246" s="5" t="s">
        <v>1950</v>
      </c>
      <c r="B246" s="5" t="s">
        <v>565</v>
      </c>
      <c r="C246" s="5" t="s">
        <v>1952</v>
      </c>
      <c r="D246" s="5" t="s">
        <v>3344</v>
      </c>
      <c r="E246" s="8">
        <v>1</v>
      </c>
      <c r="F246" s="5" t="s">
        <v>132</v>
      </c>
      <c r="G246" s="5" t="s">
        <v>668</v>
      </c>
      <c r="H246" s="5" t="s">
        <v>1951</v>
      </c>
      <c r="I246" s="5"/>
      <c r="J246" s="5"/>
      <c r="K246" s="5" t="s">
        <v>3105</v>
      </c>
      <c r="L246" s="5" t="s">
        <v>276</v>
      </c>
      <c r="M246" s="5" t="s">
        <v>851</v>
      </c>
    </row>
    <row r="247" spans="1:13" ht="50.1" customHeight="1" x14ac:dyDescent="0.2">
      <c r="A247" s="5" t="s">
        <v>1955</v>
      </c>
      <c r="B247" s="5" t="s">
        <v>1956</v>
      </c>
      <c r="C247" s="5" t="s">
        <v>1958</v>
      </c>
      <c r="D247" s="5" t="s">
        <v>3345</v>
      </c>
      <c r="E247" s="8">
        <v>1</v>
      </c>
      <c r="F247" s="5" t="s">
        <v>132</v>
      </c>
      <c r="G247" s="5" t="s">
        <v>668</v>
      </c>
      <c r="H247" s="5" t="s">
        <v>1957</v>
      </c>
      <c r="I247" s="5"/>
      <c r="J247" s="5"/>
      <c r="K247" s="5" t="s">
        <v>3105</v>
      </c>
      <c r="L247" s="5" t="s">
        <v>276</v>
      </c>
      <c r="M247" s="5" t="s">
        <v>851</v>
      </c>
    </row>
    <row r="248" spans="1:13" ht="50.1" customHeight="1" x14ac:dyDescent="0.2">
      <c r="A248" s="5" t="s">
        <v>1961</v>
      </c>
      <c r="B248" s="5" t="s">
        <v>356</v>
      </c>
      <c r="C248" s="5" t="s">
        <v>1963</v>
      </c>
      <c r="D248" s="5" t="s">
        <v>3346</v>
      </c>
      <c r="E248" s="8">
        <v>1</v>
      </c>
      <c r="F248" s="5" t="s">
        <v>132</v>
      </c>
      <c r="G248" s="5" t="s">
        <v>668</v>
      </c>
      <c r="H248" s="5" t="s">
        <v>1962</v>
      </c>
      <c r="I248" s="5"/>
      <c r="J248" s="5"/>
      <c r="K248" s="5" t="s">
        <v>3105</v>
      </c>
      <c r="L248" s="5" t="s">
        <v>276</v>
      </c>
      <c r="M248" s="5" t="s">
        <v>851</v>
      </c>
    </row>
    <row r="249" spans="1:13" ht="50.1" customHeight="1" x14ac:dyDescent="0.2">
      <c r="A249" s="5" t="s">
        <v>1966</v>
      </c>
      <c r="B249" s="5" t="s">
        <v>368</v>
      </c>
      <c r="C249" s="5" t="s">
        <v>1968</v>
      </c>
      <c r="D249" s="5" t="s">
        <v>3347</v>
      </c>
      <c r="E249" s="8">
        <v>1</v>
      </c>
      <c r="F249" s="5" t="s">
        <v>132</v>
      </c>
      <c r="G249" s="5" t="s">
        <v>668</v>
      </c>
      <c r="H249" s="5" t="s">
        <v>1967</v>
      </c>
      <c r="I249" s="5"/>
      <c r="J249" s="5"/>
      <c r="K249" s="5" t="s">
        <v>3105</v>
      </c>
      <c r="L249" s="5" t="s">
        <v>276</v>
      </c>
      <c r="M249" s="5" t="s">
        <v>851</v>
      </c>
    </row>
    <row r="250" spans="1:13" ht="50.1" customHeight="1" x14ac:dyDescent="0.2">
      <c r="A250" s="5" t="s">
        <v>1971</v>
      </c>
      <c r="B250" s="5" t="s">
        <v>376</v>
      </c>
      <c r="C250" s="5" t="s">
        <v>1973</v>
      </c>
      <c r="D250" s="5" t="s">
        <v>3348</v>
      </c>
      <c r="E250" s="8">
        <v>1</v>
      </c>
      <c r="F250" s="5" t="s">
        <v>132</v>
      </c>
      <c r="G250" s="5" t="s">
        <v>668</v>
      </c>
      <c r="H250" s="5" t="s">
        <v>1972</v>
      </c>
      <c r="I250" s="5"/>
      <c r="J250" s="5"/>
      <c r="K250" s="5" t="s">
        <v>3105</v>
      </c>
      <c r="L250" s="5" t="s">
        <v>276</v>
      </c>
      <c r="M250" s="5" t="s">
        <v>851</v>
      </c>
    </row>
    <row r="251" spans="1:13" ht="50.1" customHeight="1" x14ac:dyDescent="0.2">
      <c r="A251" s="5" t="s">
        <v>1976</v>
      </c>
      <c r="B251" s="5" t="s">
        <v>698</v>
      </c>
      <c r="C251" s="5" t="s">
        <v>1978</v>
      </c>
      <c r="D251" s="5" t="s">
        <v>3349</v>
      </c>
      <c r="E251" s="8">
        <v>1</v>
      </c>
      <c r="F251" s="5" t="s">
        <v>132</v>
      </c>
      <c r="G251" s="5" t="s">
        <v>668</v>
      </c>
      <c r="H251" s="5" t="s">
        <v>1977</v>
      </c>
      <c r="I251" s="5"/>
      <c r="J251" s="5"/>
      <c r="K251" s="5" t="s">
        <v>3105</v>
      </c>
      <c r="L251" s="5" t="s">
        <v>276</v>
      </c>
      <c r="M251" s="5" t="s">
        <v>851</v>
      </c>
    </row>
    <row r="252" spans="1:13" ht="50.1" customHeight="1" x14ac:dyDescent="0.2">
      <c r="A252" s="5" t="s">
        <v>1981</v>
      </c>
      <c r="B252" s="5" t="s">
        <v>1982</v>
      </c>
      <c r="C252" s="5" t="s">
        <v>1984</v>
      </c>
      <c r="D252" s="5" t="s">
        <v>3350</v>
      </c>
      <c r="E252" s="8">
        <v>1</v>
      </c>
      <c r="F252" s="5" t="s">
        <v>132</v>
      </c>
      <c r="G252" s="5" t="s">
        <v>668</v>
      </c>
      <c r="H252" s="5" t="s">
        <v>1983</v>
      </c>
      <c r="I252" s="5"/>
      <c r="J252" s="5"/>
      <c r="K252" s="5" t="s">
        <v>3105</v>
      </c>
      <c r="L252" s="5" t="s">
        <v>276</v>
      </c>
      <c r="M252" s="5" t="s">
        <v>851</v>
      </c>
    </row>
    <row r="253" spans="1:13" ht="50.1" customHeight="1" x14ac:dyDescent="0.2">
      <c r="A253" s="5" t="s">
        <v>1988</v>
      </c>
      <c r="B253" s="5" t="s">
        <v>1989</v>
      </c>
      <c r="C253" s="5" t="s">
        <v>1991</v>
      </c>
      <c r="D253" s="5" t="s">
        <v>3351</v>
      </c>
      <c r="E253" s="8">
        <v>1</v>
      </c>
      <c r="F253" s="5" t="s">
        <v>132</v>
      </c>
      <c r="G253" s="5" t="s">
        <v>668</v>
      </c>
      <c r="H253" s="5" t="s">
        <v>1990</v>
      </c>
      <c r="I253" s="5"/>
      <c r="J253" s="5"/>
      <c r="K253" s="5" t="s">
        <v>3105</v>
      </c>
      <c r="L253" s="5" t="s">
        <v>276</v>
      </c>
      <c r="M253" s="5" t="s">
        <v>851</v>
      </c>
    </row>
    <row r="254" spans="1:13" ht="50.1" customHeight="1" x14ac:dyDescent="0.2">
      <c r="A254" s="5" t="s">
        <v>1995</v>
      </c>
      <c r="B254" s="5" t="s">
        <v>1996</v>
      </c>
      <c r="C254" s="5" t="s">
        <v>1998</v>
      </c>
      <c r="D254" s="5" t="s">
        <v>3352</v>
      </c>
      <c r="E254" s="8">
        <v>1</v>
      </c>
      <c r="F254" s="5" t="s">
        <v>132</v>
      </c>
      <c r="G254" s="5" t="s">
        <v>668</v>
      </c>
      <c r="H254" s="5" t="s">
        <v>1997</v>
      </c>
      <c r="I254" s="5"/>
      <c r="J254" s="5"/>
      <c r="K254" s="5" t="s">
        <v>3105</v>
      </c>
      <c r="L254" s="5" t="s">
        <v>276</v>
      </c>
      <c r="M254" s="5" t="s">
        <v>851</v>
      </c>
    </row>
    <row r="255" spans="1:13" ht="50.1" customHeight="1" x14ac:dyDescent="0.2">
      <c r="A255" s="5" t="s">
        <v>2003</v>
      </c>
      <c r="B255" s="5" t="s">
        <v>724</v>
      </c>
      <c r="C255" s="5" t="s">
        <v>2005</v>
      </c>
      <c r="D255" s="5" t="s">
        <v>3353</v>
      </c>
      <c r="E255" s="8">
        <v>1</v>
      </c>
      <c r="F255" s="5" t="s">
        <v>132</v>
      </c>
      <c r="G255" s="5" t="s">
        <v>668</v>
      </c>
      <c r="H255" s="5" t="s">
        <v>2004</v>
      </c>
      <c r="I255" s="5"/>
      <c r="J255" s="5"/>
      <c r="K255" s="5" t="s">
        <v>3105</v>
      </c>
      <c r="L255" s="5" t="s">
        <v>276</v>
      </c>
      <c r="M255" s="5" t="s">
        <v>851</v>
      </c>
    </row>
    <row r="256" spans="1:13" ht="50.1" customHeight="1" x14ac:dyDescent="0.2">
      <c r="A256" s="5" t="s">
        <v>2008</v>
      </c>
      <c r="B256" s="5" t="s">
        <v>2009</v>
      </c>
      <c r="C256" s="5" t="s">
        <v>2011</v>
      </c>
      <c r="D256" s="5" t="s">
        <v>3354</v>
      </c>
      <c r="E256" s="8">
        <v>1</v>
      </c>
      <c r="F256" s="5" t="s">
        <v>132</v>
      </c>
      <c r="G256" s="5" t="s">
        <v>668</v>
      </c>
      <c r="H256" s="5" t="s">
        <v>2010</v>
      </c>
      <c r="I256" s="5"/>
      <c r="J256" s="5"/>
      <c r="K256" s="5" t="s">
        <v>3105</v>
      </c>
      <c r="L256" s="5" t="s">
        <v>276</v>
      </c>
      <c r="M256" s="5" t="s">
        <v>851</v>
      </c>
    </row>
    <row r="257" spans="1:13" ht="50.1" customHeight="1" x14ac:dyDescent="0.2">
      <c r="A257" s="5" t="s">
        <v>2016</v>
      </c>
      <c r="B257" s="5" t="s">
        <v>698</v>
      </c>
      <c r="C257" s="5" t="s">
        <v>2018</v>
      </c>
      <c r="D257" s="5" t="s">
        <v>3355</v>
      </c>
      <c r="E257" s="8">
        <v>1</v>
      </c>
      <c r="F257" s="5" t="s">
        <v>132</v>
      </c>
      <c r="G257" s="5" t="s">
        <v>668</v>
      </c>
      <c r="H257" s="5" t="s">
        <v>2017</v>
      </c>
      <c r="I257" s="5"/>
      <c r="J257" s="5"/>
      <c r="K257" s="5" t="s">
        <v>3105</v>
      </c>
      <c r="L257" s="5" t="s">
        <v>276</v>
      </c>
      <c r="M257" s="5" t="s">
        <v>851</v>
      </c>
    </row>
    <row r="258" spans="1:13" ht="50.1" customHeight="1" x14ac:dyDescent="0.2">
      <c r="A258" s="5" t="s">
        <v>2021</v>
      </c>
      <c r="B258" s="5" t="s">
        <v>2022</v>
      </c>
      <c r="C258" s="5" t="s">
        <v>2024</v>
      </c>
      <c r="D258" s="5" t="s">
        <v>3356</v>
      </c>
      <c r="E258" s="8">
        <v>1</v>
      </c>
      <c r="F258" s="5" t="s">
        <v>132</v>
      </c>
      <c r="G258" s="5" t="s">
        <v>668</v>
      </c>
      <c r="H258" s="5" t="s">
        <v>2023</v>
      </c>
      <c r="I258" s="5"/>
      <c r="J258" s="5"/>
      <c r="K258" s="5" t="s">
        <v>3105</v>
      </c>
      <c r="L258" s="5" t="s">
        <v>276</v>
      </c>
      <c r="M258" s="5" t="s">
        <v>851</v>
      </c>
    </row>
    <row r="259" spans="1:13" ht="50.1" customHeight="1" x14ac:dyDescent="0.2">
      <c r="A259" s="5" t="s">
        <v>2028</v>
      </c>
      <c r="B259" s="5" t="s">
        <v>2029</v>
      </c>
      <c r="C259" s="5" t="s">
        <v>2031</v>
      </c>
      <c r="D259" s="5" t="s">
        <v>3357</v>
      </c>
      <c r="E259" s="8">
        <v>1</v>
      </c>
      <c r="F259" s="5" t="s">
        <v>132</v>
      </c>
      <c r="G259" s="5" t="s">
        <v>668</v>
      </c>
      <c r="H259" s="5" t="s">
        <v>2030</v>
      </c>
      <c r="I259" s="5"/>
      <c r="J259" s="5"/>
      <c r="K259" s="5" t="s">
        <v>3105</v>
      </c>
      <c r="L259" s="5" t="s">
        <v>276</v>
      </c>
      <c r="M259" s="5" t="s">
        <v>851</v>
      </c>
    </row>
    <row r="260" spans="1:13" ht="50.1" customHeight="1" x14ac:dyDescent="0.2">
      <c r="A260" s="5" t="s">
        <v>2035</v>
      </c>
      <c r="B260" s="5" t="s">
        <v>2036</v>
      </c>
      <c r="C260" s="5" t="s">
        <v>2038</v>
      </c>
      <c r="D260" s="5" t="s">
        <v>3358</v>
      </c>
      <c r="E260" s="8">
        <v>1</v>
      </c>
      <c r="F260" s="5" t="s">
        <v>132</v>
      </c>
      <c r="G260" s="5" t="s">
        <v>668</v>
      </c>
      <c r="H260" s="5" t="s">
        <v>2037</v>
      </c>
      <c r="I260" s="5"/>
      <c r="J260" s="5"/>
      <c r="K260" s="5" t="s">
        <v>3105</v>
      </c>
      <c r="L260" s="5" t="s">
        <v>276</v>
      </c>
      <c r="M260" s="5" t="s">
        <v>851</v>
      </c>
    </row>
    <row r="261" spans="1:13" ht="50.1" customHeight="1" x14ac:dyDescent="0.2">
      <c r="A261" s="5" t="s">
        <v>2043</v>
      </c>
      <c r="B261" s="5" t="s">
        <v>2044</v>
      </c>
      <c r="C261" s="5" t="s">
        <v>2046</v>
      </c>
      <c r="D261" s="5" t="s">
        <v>3359</v>
      </c>
      <c r="E261" s="8">
        <v>1</v>
      </c>
      <c r="F261" s="5" t="s">
        <v>132</v>
      </c>
      <c r="G261" s="5" t="s">
        <v>668</v>
      </c>
      <c r="H261" s="5" t="s">
        <v>2045</v>
      </c>
      <c r="I261" s="5"/>
      <c r="J261" s="5"/>
      <c r="K261" s="5" t="s">
        <v>3105</v>
      </c>
      <c r="L261" s="5" t="s">
        <v>276</v>
      </c>
      <c r="M261" s="5" t="s">
        <v>851</v>
      </c>
    </row>
    <row r="262" spans="1:13" ht="50.1" customHeight="1" x14ac:dyDescent="0.2">
      <c r="A262" s="5" t="s">
        <v>2051</v>
      </c>
      <c r="B262" s="5" t="s">
        <v>565</v>
      </c>
      <c r="C262" s="5" t="s">
        <v>2053</v>
      </c>
      <c r="D262" s="5" t="s">
        <v>3360</v>
      </c>
      <c r="E262" s="8">
        <v>1</v>
      </c>
      <c r="F262" s="5" t="s">
        <v>132</v>
      </c>
      <c r="G262" s="5" t="s">
        <v>668</v>
      </c>
      <c r="H262" s="5" t="s">
        <v>2052</v>
      </c>
      <c r="I262" s="5"/>
      <c r="J262" s="5"/>
      <c r="K262" s="5" t="s">
        <v>3105</v>
      </c>
      <c r="L262" s="5" t="s">
        <v>276</v>
      </c>
      <c r="M262" s="5" t="s">
        <v>851</v>
      </c>
    </row>
    <row r="263" spans="1:13" ht="50.1" customHeight="1" x14ac:dyDescent="0.2">
      <c r="A263" s="5" t="s">
        <v>2056</v>
      </c>
      <c r="B263" s="5" t="s">
        <v>2057</v>
      </c>
      <c r="C263" s="5" t="s">
        <v>2059</v>
      </c>
      <c r="D263" s="5" t="s">
        <v>3361</v>
      </c>
      <c r="E263" s="8">
        <v>1</v>
      </c>
      <c r="F263" s="5" t="s">
        <v>132</v>
      </c>
      <c r="G263" s="5" t="s">
        <v>668</v>
      </c>
      <c r="H263" s="5" t="s">
        <v>2058</v>
      </c>
      <c r="I263" s="5"/>
      <c r="J263" s="5"/>
      <c r="K263" s="5" t="s">
        <v>3105</v>
      </c>
      <c r="L263" s="5" t="s">
        <v>276</v>
      </c>
      <c r="M263" s="5" t="s">
        <v>851</v>
      </c>
    </row>
    <row r="264" spans="1:13" ht="50.1" customHeight="1" x14ac:dyDescent="0.2">
      <c r="A264" s="5" t="s">
        <v>2063</v>
      </c>
      <c r="B264" s="5" t="s">
        <v>2064</v>
      </c>
      <c r="C264" s="5" t="s">
        <v>2066</v>
      </c>
      <c r="D264" s="5" t="s">
        <v>3362</v>
      </c>
      <c r="E264" s="8">
        <v>1</v>
      </c>
      <c r="F264" s="5" t="s">
        <v>132</v>
      </c>
      <c r="G264" s="5" t="s">
        <v>668</v>
      </c>
      <c r="H264" s="5" t="s">
        <v>2065</v>
      </c>
      <c r="I264" s="5"/>
      <c r="J264" s="5"/>
      <c r="K264" s="5" t="s">
        <v>3105</v>
      </c>
      <c r="L264" s="5" t="s">
        <v>276</v>
      </c>
      <c r="M264" s="5" t="s">
        <v>851</v>
      </c>
    </row>
    <row r="265" spans="1:13" ht="50.1" customHeight="1" x14ac:dyDescent="0.2">
      <c r="A265" s="5" t="s">
        <v>2069</v>
      </c>
      <c r="B265" s="5" t="s">
        <v>356</v>
      </c>
      <c r="C265" s="5" t="s">
        <v>2071</v>
      </c>
      <c r="D265" s="5" t="s">
        <v>3363</v>
      </c>
      <c r="E265" s="8">
        <v>1</v>
      </c>
      <c r="F265" s="5" t="s">
        <v>132</v>
      </c>
      <c r="G265" s="5" t="s">
        <v>668</v>
      </c>
      <c r="H265" s="5" t="s">
        <v>2070</v>
      </c>
      <c r="I265" s="5"/>
      <c r="J265" s="5"/>
      <c r="K265" s="5" t="s">
        <v>3105</v>
      </c>
      <c r="L265" s="5" t="s">
        <v>276</v>
      </c>
      <c r="M265" s="5" t="s">
        <v>851</v>
      </c>
    </row>
    <row r="266" spans="1:13" ht="50.1" customHeight="1" x14ac:dyDescent="0.2">
      <c r="A266" s="5" t="s">
        <v>2074</v>
      </c>
      <c r="B266" s="5" t="s">
        <v>368</v>
      </c>
      <c r="C266" s="5" t="s">
        <v>2076</v>
      </c>
      <c r="D266" s="5" t="s">
        <v>3364</v>
      </c>
      <c r="E266" s="8">
        <v>1</v>
      </c>
      <c r="F266" s="5" t="s">
        <v>132</v>
      </c>
      <c r="G266" s="5" t="s">
        <v>668</v>
      </c>
      <c r="H266" s="5" t="s">
        <v>2075</v>
      </c>
      <c r="I266" s="5"/>
      <c r="J266" s="5"/>
      <c r="K266" s="5" t="s">
        <v>3105</v>
      </c>
      <c r="L266" s="5" t="s">
        <v>276</v>
      </c>
      <c r="M266" s="5" t="s">
        <v>851</v>
      </c>
    </row>
    <row r="267" spans="1:13" ht="50.1" customHeight="1" x14ac:dyDescent="0.2">
      <c r="A267" s="5" t="s">
        <v>2079</v>
      </c>
      <c r="B267" s="5" t="s">
        <v>376</v>
      </c>
      <c r="C267" s="5" t="s">
        <v>2081</v>
      </c>
      <c r="D267" s="5" t="s">
        <v>3365</v>
      </c>
      <c r="E267" s="8">
        <v>1</v>
      </c>
      <c r="F267" s="5" t="s">
        <v>132</v>
      </c>
      <c r="G267" s="5" t="s">
        <v>668</v>
      </c>
      <c r="H267" s="5" t="s">
        <v>2080</v>
      </c>
      <c r="I267" s="5"/>
      <c r="J267" s="5"/>
      <c r="K267" s="5" t="s">
        <v>3105</v>
      </c>
      <c r="L267" s="5" t="s">
        <v>276</v>
      </c>
      <c r="M267" s="5" t="s">
        <v>851</v>
      </c>
    </row>
    <row r="268" spans="1:13" ht="50.1" customHeight="1" x14ac:dyDescent="0.2">
      <c r="A268" s="5" t="s">
        <v>2084</v>
      </c>
      <c r="B268" s="5" t="s">
        <v>2085</v>
      </c>
      <c r="C268" s="5" t="s">
        <v>2087</v>
      </c>
      <c r="D268" s="5" t="s">
        <v>3366</v>
      </c>
      <c r="E268" s="8">
        <v>1</v>
      </c>
      <c r="F268" s="5" t="s">
        <v>132</v>
      </c>
      <c r="G268" s="5" t="s">
        <v>668</v>
      </c>
      <c r="H268" s="5" t="s">
        <v>2086</v>
      </c>
      <c r="I268" s="5"/>
      <c r="J268" s="5"/>
      <c r="K268" s="5" t="s">
        <v>3105</v>
      </c>
      <c r="L268" s="5" t="s">
        <v>276</v>
      </c>
      <c r="M268" s="5" t="s">
        <v>851</v>
      </c>
    </row>
    <row r="269" spans="1:13" ht="50.1" customHeight="1" x14ac:dyDescent="0.2">
      <c r="A269" s="5" t="s">
        <v>2092</v>
      </c>
      <c r="B269" s="5" t="s">
        <v>966</v>
      </c>
      <c r="C269" s="5" t="s">
        <v>2094</v>
      </c>
      <c r="D269" s="5" t="s">
        <v>3367</v>
      </c>
      <c r="E269" s="8">
        <v>1</v>
      </c>
      <c r="F269" s="5" t="s">
        <v>132</v>
      </c>
      <c r="G269" s="5" t="s">
        <v>668</v>
      </c>
      <c r="H269" s="5" t="s">
        <v>2093</v>
      </c>
      <c r="I269" s="5"/>
      <c r="J269" s="5"/>
      <c r="K269" s="5" t="s">
        <v>3105</v>
      </c>
      <c r="L269" s="5" t="s">
        <v>276</v>
      </c>
      <c r="M269" s="5" t="s">
        <v>851</v>
      </c>
    </row>
    <row r="270" spans="1:13" ht="50.1" customHeight="1" x14ac:dyDescent="0.2">
      <c r="A270" s="5" t="s">
        <v>2097</v>
      </c>
      <c r="B270" s="5" t="s">
        <v>2098</v>
      </c>
      <c r="C270" s="5" t="s">
        <v>2100</v>
      </c>
      <c r="D270" s="5" t="s">
        <v>3368</v>
      </c>
      <c r="E270" s="8">
        <v>1</v>
      </c>
      <c r="F270" s="5" t="s">
        <v>132</v>
      </c>
      <c r="G270" s="5" t="s">
        <v>668</v>
      </c>
      <c r="H270" s="5" t="s">
        <v>2099</v>
      </c>
      <c r="I270" s="5"/>
      <c r="J270" s="5"/>
      <c r="K270" s="5" t="s">
        <v>3105</v>
      </c>
      <c r="L270" s="5" t="s">
        <v>276</v>
      </c>
      <c r="M270" s="5" t="s">
        <v>851</v>
      </c>
    </row>
    <row r="271" spans="1:13" ht="50.1" customHeight="1" x14ac:dyDescent="0.2">
      <c r="A271" s="5" t="s">
        <v>2105</v>
      </c>
      <c r="B271" s="5" t="s">
        <v>2106</v>
      </c>
      <c r="C271" s="5" t="s">
        <v>2108</v>
      </c>
      <c r="D271" s="5" t="s">
        <v>3369</v>
      </c>
      <c r="E271" s="8">
        <v>1</v>
      </c>
      <c r="F271" s="5" t="s">
        <v>132</v>
      </c>
      <c r="G271" s="5" t="s">
        <v>668</v>
      </c>
      <c r="H271" s="5" t="s">
        <v>2107</v>
      </c>
      <c r="I271" s="5"/>
      <c r="J271" s="5"/>
      <c r="K271" s="5" t="s">
        <v>3105</v>
      </c>
      <c r="L271" s="5" t="s">
        <v>276</v>
      </c>
      <c r="M271" s="5" t="s">
        <v>851</v>
      </c>
    </row>
    <row r="272" spans="1:13" ht="50.1" customHeight="1" x14ac:dyDescent="0.2">
      <c r="A272" s="5" t="s">
        <v>2113</v>
      </c>
      <c r="B272" s="5" t="s">
        <v>2114</v>
      </c>
      <c r="C272" s="5" t="s">
        <v>2116</v>
      </c>
      <c r="D272" s="5" t="s">
        <v>3370</v>
      </c>
      <c r="E272" s="8">
        <v>1</v>
      </c>
      <c r="F272" s="5" t="s">
        <v>132</v>
      </c>
      <c r="G272" s="5" t="s">
        <v>668</v>
      </c>
      <c r="H272" s="5" t="s">
        <v>2115</v>
      </c>
      <c r="I272" s="5"/>
      <c r="J272" s="5"/>
      <c r="K272" s="5" t="s">
        <v>3105</v>
      </c>
      <c r="L272" s="5" t="s">
        <v>276</v>
      </c>
      <c r="M272" s="5" t="s">
        <v>851</v>
      </c>
    </row>
    <row r="273" spans="1:13" ht="50.1" customHeight="1" x14ac:dyDescent="0.2">
      <c r="A273" s="5" t="s">
        <v>2121</v>
      </c>
      <c r="B273" s="5" t="s">
        <v>2122</v>
      </c>
      <c r="C273" s="5" t="s">
        <v>2124</v>
      </c>
      <c r="D273" s="5" t="s">
        <v>3371</v>
      </c>
      <c r="E273" s="8">
        <v>1</v>
      </c>
      <c r="F273" s="5" t="s">
        <v>132</v>
      </c>
      <c r="G273" s="5" t="s">
        <v>668</v>
      </c>
      <c r="H273" s="5" t="s">
        <v>2123</v>
      </c>
      <c r="I273" s="5"/>
      <c r="J273" s="5"/>
      <c r="K273" s="5" t="s">
        <v>3105</v>
      </c>
      <c r="L273" s="5" t="s">
        <v>276</v>
      </c>
      <c r="M273" s="5" t="s">
        <v>851</v>
      </c>
    </row>
    <row r="274" spans="1:13" ht="50.1" customHeight="1" x14ac:dyDescent="0.2">
      <c r="A274" s="5" t="s">
        <v>2129</v>
      </c>
      <c r="B274" s="5" t="s">
        <v>2130</v>
      </c>
      <c r="C274" s="5" t="s">
        <v>2132</v>
      </c>
      <c r="D274" s="5" t="s">
        <v>3372</v>
      </c>
      <c r="E274" s="8">
        <v>1</v>
      </c>
      <c r="F274" s="5" t="s">
        <v>132</v>
      </c>
      <c r="G274" s="5" t="s">
        <v>668</v>
      </c>
      <c r="H274" s="5" t="s">
        <v>2131</v>
      </c>
      <c r="I274" s="5"/>
      <c r="J274" s="5"/>
      <c r="K274" s="5" t="s">
        <v>3105</v>
      </c>
      <c r="L274" s="5" t="s">
        <v>276</v>
      </c>
      <c r="M274" s="5" t="s">
        <v>851</v>
      </c>
    </row>
    <row r="275" spans="1:13" ht="50.1" customHeight="1" x14ac:dyDescent="0.2">
      <c r="A275" s="5" t="s">
        <v>2135</v>
      </c>
      <c r="B275" s="5" t="s">
        <v>356</v>
      </c>
      <c r="C275" s="5" t="s">
        <v>2137</v>
      </c>
      <c r="D275" s="5" t="s">
        <v>3373</v>
      </c>
      <c r="E275" s="8">
        <v>1</v>
      </c>
      <c r="F275" s="5" t="s">
        <v>132</v>
      </c>
      <c r="G275" s="5" t="s">
        <v>668</v>
      </c>
      <c r="H275" s="5" t="s">
        <v>2136</v>
      </c>
      <c r="I275" s="5"/>
      <c r="J275" s="5"/>
      <c r="K275" s="5" t="s">
        <v>3105</v>
      </c>
      <c r="L275" s="5" t="s">
        <v>276</v>
      </c>
      <c r="M275" s="5" t="s">
        <v>851</v>
      </c>
    </row>
    <row r="276" spans="1:13" ht="50.1" customHeight="1" x14ac:dyDescent="0.2">
      <c r="A276" s="5" t="s">
        <v>2140</v>
      </c>
      <c r="B276" s="5" t="s">
        <v>368</v>
      </c>
      <c r="C276" s="5" t="s">
        <v>2142</v>
      </c>
      <c r="D276" s="5" t="s">
        <v>3374</v>
      </c>
      <c r="E276" s="8">
        <v>1</v>
      </c>
      <c r="F276" s="5" t="s">
        <v>132</v>
      </c>
      <c r="G276" s="5" t="s">
        <v>668</v>
      </c>
      <c r="H276" s="5" t="s">
        <v>2141</v>
      </c>
      <c r="I276" s="5"/>
      <c r="J276" s="5"/>
      <c r="K276" s="5" t="s">
        <v>3105</v>
      </c>
      <c r="L276" s="5" t="s">
        <v>276</v>
      </c>
      <c r="M276" s="5" t="s">
        <v>851</v>
      </c>
    </row>
    <row r="277" spans="1:13" ht="50.1" customHeight="1" x14ac:dyDescent="0.2">
      <c r="A277" s="5" t="s">
        <v>2145</v>
      </c>
      <c r="B277" s="5" t="s">
        <v>376</v>
      </c>
      <c r="C277" s="5" t="s">
        <v>2147</v>
      </c>
      <c r="D277" s="5" t="s">
        <v>3375</v>
      </c>
      <c r="E277" s="8">
        <v>1</v>
      </c>
      <c r="F277" s="5" t="s">
        <v>132</v>
      </c>
      <c r="G277" s="5" t="s">
        <v>668</v>
      </c>
      <c r="H277" s="5" t="s">
        <v>2146</v>
      </c>
      <c r="I277" s="5"/>
      <c r="J277" s="5"/>
      <c r="K277" s="5" t="s">
        <v>3105</v>
      </c>
      <c r="L277" s="5" t="s">
        <v>276</v>
      </c>
      <c r="M277" s="5" t="s">
        <v>851</v>
      </c>
    </row>
    <row r="278" spans="1:13" ht="50.1" customHeight="1" x14ac:dyDescent="0.2">
      <c r="A278" s="5" t="s">
        <v>2150</v>
      </c>
      <c r="B278" s="5" t="s">
        <v>1295</v>
      </c>
      <c r="C278" s="5" t="s">
        <v>2152</v>
      </c>
      <c r="D278" s="5" t="s">
        <v>3376</v>
      </c>
      <c r="E278" s="8">
        <v>1</v>
      </c>
      <c r="F278" s="5" t="s">
        <v>132</v>
      </c>
      <c r="G278" s="5" t="s">
        <v>668</v>
      </c>
      <c r="H278" s="5" t="s">
        <v>2151</v>
      </c>
      <c r="I278" s="5"/>
      <c r="J278" s="5"/>
      <c r="K278" s="5" t="s">
        <v>3105</v>
      </c>
      <c r="L278" s="5" t="s">
        <v>276</v>
      </c>
      <c r="M278" s="5" t="s">
        <v>851</v>
      </c>
    </row>
    <row r="279" spans="1:13" ht="50.1" customHeight="1" x14ac:dyDescent="0.2">
      <c r="A279" s="5" t="s">
        <v>2155</v>
      </c>
      <c r="B279" s="5" t="s">
        <v>966</v>
      </c>
      <c r="C279" s="5" t="s">
        <v>2157</v>
      </c>
      <c r="D279" s="5" t="s">
        <v>3377</v>
      </c>
      <c r="E279" s="8">
        <v>1</v>
      </c>
      <c r="F279" s="5" t="s">
        <v>132</v>
      </c>
      <c r="G279" s="5" t="s">
        <v>668</v>
      </c>
      <c r="H279" s="5" t="s">
        <v>2156</v>
      </c>
      <c r="I279" s="5"/>
      <c r="J279" s="5"/>
      <c r="K279" s="5" t="s">
        <v>3105</v>
      </c>
      <c r="L279" s="5" t="s">
        <v>276</v>
      </c>
      <c r="M279" s="5" t="s">
        <v>851</v>
      </c>
    </row>
    <row r="280" spans="1:13" ht="50.1" customHeight="1" x14ac:dyDescent="0.2">
      <c r="A280" s="5" t="s">
        <v>2160</v>
      </c>
      <c r="B280" s="5" t="s">
        <v>2161</v>
      </c>
      <c r="C280" s="5" t="s">
        <v>2163</v>
      </c>
      <c r="D280" s="5" t="s">
        <v>3378</v>
      </c>
      <c r="E280" s="8">
        <v>1</v>
      </c>
      <c r="F280" s="5" t="s">
        <v>132</v>
      </c>
      <c r="G280" s="5" t="s">
        <v>668</v>
      </c>
      <c r="H280" s="5" t="s">
        <v>2162</v>
      </c>
      <c r="I280" s="5"/>
      <c r="J280" s="5"/>
      <c r="K280" s="5" t="s">
        <v>3105</v>
      </c>
      <c r="L280" s="5" t="s">
        <v>276</v>
      </c>
      <c r="M280" s="5" t="s">
        <v>851</v>
      </c>
    </row>
    <row r="281" spans="1:13" ht="50.1" customHeight="1" x14ac:dyDescent="0.2">
      <c r="A281" s="5" t="s">
        <v>2168</v>
      </c>
      <c r="B281" s="5" t="s">
        <v>2169</v>
      </c>
      <c r="C281" s="5" t="s">
        <v>2171</v>
      </c>
      <c r="D281" s="5" t="s">
        <v>3379</v>
      </c>
      <c r="E281" s="8">
        <v>1</v>
      </c>
      <c r="F281" s="5" t="s">
        <v>132</v>
      </c>
      <c r="G281" s="5" t="s">
        <v>668</v>
      </c>
      <c r="H281" s="5" t="s">
        <v>2170</v>
      </c>
      <c r="I281" s="5"/>
      <c r="J281" s="5"/>
      <c r="K281" s="5" t="s">
        <v>3105</v>
      </c>
      <c r="L281" s="5" t="s">
        <v>276</v>
      </c>
      <c r="M281" s="5" t="s">
        <v>851</v>
      </c>
    </row>
    <row r="282" spans="1:13" ht="50.1" customHeight="1" x14ac:dyDescent="0.2">
      <c r="A282" s="5" t="s">
        <v>2176</v>
      </c>
      <c r="B282" s="5" t="s">
        <v>2177</v>
      </c>
      <c r="C282" s="5" t="s">
        <v>2179</v>
      </c>
      <c r="D282" s="5" t="s">
        <v>3380</v>
      </c>
      <c r="E282" s="8">
        <v>1</v>
      </c>
      <c r="F282" s="5" t="s">
        <v>132</v>
      </c>
      <c r="G282" s="5" t="s">
        <v>668</v>
      </c>
      <c r="H282" s="5" t="s">
        <v>2178</v>
      </c>
      <c r="I282" s="5"/>
      <c r="J282" s="5"/>
      <c r="K282" s="5" t="s">
        <v>3105</v>
      </c>
      <c r="L282" s="5" t="s">
        <v>276</v>
      </c>
      <c r="M282" s="5" t="s">
        <v>851</v>
      </c>
    </row>
    <row r="283" spans="1:13" ht="50.1" customHeight="1" x14ac:dyDescent="0.2">
      <c r="A283" s="5" t="s">
        <v>2182</v>
      </c>
      <c r="B283" s="5" t="s">
        <v>356</v>
      </c>
      <c r="C283" s="5" t="s">
        <v>2184</v>
      </c>
      <c r="D283" s="5" t="s">
        <v>3381</v>
      </c>
      <c r="E283" s="8">
        <v>1</v>
      </c>
      <c r="F283" s="5" t="s">
        <v>132</v>
      </c>
      <c r="G283" s="5" t="s">
        <v>668</v>
      </c>
      <c r="H283" s="5" t="s">
        <v>2183</v>
      </c>
      <c r="I283" s="5"/>
      <c r="J283" s="5"/>
      <c r="K283" s="5" t="s">
        <v>3105</v>
      </c>
      <c r="L283" s="5" t="s">
        <v>276</v>
      </c>
      <c r="M283" s="5" t="s">
        <v>851</v>
      </c>
    </row>
    <row r="284" spans="1:13" ht="50.1" customHeight="1" x14ac:dyDescent="0.2">
      <c r="A284" s="5" t="s">
        <v>2187</v>
      </c>
      <c r="B284" s="5" t="s">
        <v>368</v>
      </c>
      <c r="C284" s="5" t="s">
        <v>2189</v>
      </c>
      <c r="D284" s="5" t="s">
        <v>3382</v>
      </c>
      <c r="E284" s="8">
        <v>1</v>
      </c>
      <c r="F284" s="5" t="s">
        <v>132</v>
      </c>
      <c r="G284" s="5" t="s">
        <v>668</v>
      </c>
      <c r="H284" s="5" t="s">
        <v>2188</v>
      </c>
      <c r="I284" s="5"/>
      <c r="J284" s="5"/>
      <c r="K284" s="5" t="s">
        <v>3105</v>
      </c>
      <c r="L284" s="5" t="s">
        <v>276</v>
      </c>
      <c r="M284" s="5" t="s">
        <v>851</v>
      </c>
    </row>
    <row r="285" spans="1:13" ht="50.1" customHeight="1" x14ac:dyDescent="0.2">
      <c r="A285" s="5" t="s">
        <v>2192</v>
      </c>
      <c r="B285" s="5" t="s">
        <v>376</v>
      </c>
      <c r="C285" s="5" t="s">
        <v>2194</v>
      </c>
      <c r="D285" s="5" t="s">
        <v>3383</v>
      </c>
      <c r="E285" s="8">
        <v>1</v>
      </c>
      <c r="F285" s="5" t="s">
        <v>132</v>
      </c>
      <c r="G285" s="5" t="s">
        <v>668</v>
      </c>
      <c r="H285" s="5" t="s">
        <v>2193</v>
      </c>
      <c r="I285" s="5"/>
      <c r="J285" s="5"/>
      <c r="K285" s="5" t="s">
        <v>3105</v>
      </c>
      <c r="L285" s="5" t="s">
        <v>276</v>
      </c>
      <c r="M285" s="5" t="s">
        <v>851</v>
      </c>
    </row>
    <row r="286" spans="1:13" ht="50.1" customHeight="1" x14ac:dyDescent="0.2">
      <c r="A286" s="5" t="s">
        <v>2197</v>
      </c>
      <c r="B286" s="5" t="s">
        <v>1295</v>
      </c>
      <c r="C286" s="5" t="s">
        <v>2199</v>
      </c>
      <c r="D286" s="5" t="s">
        <v>3384</v>
      </c>
      <c r="E286" s="8">
        <v>1</v>
      </c>
      <c r="F286" s="5" t="s">
        <v>132</v>
      </c>
      <c r="G286" s="5" t="s">
        <v>668</v>
      </c>
      <c r="H286" s="5" t="s">
        <v>2198</v>
      </c>
      <c r="I286" s="5"/>
      <c r="J286" s="5"/>
      <c r="K286" s="5" t="s">
        <v>3105</v>
      </c>
      <c r="L286" s="5" t="s">
        <v>276</v>
      </c>
      <c r="M286" s="5" t="s">
        <v>851</v>
      </c>
    </row>
    <row r="287" spans="1:13" ht="50.1" customHeight="1" x14ac:dyDescent="0.2">
      <c r="A287" s="5" t="s">
        <v>2202</v>
      </c>
      <c r="B287" s="5" t="s">
        <v>2203</v>
      </c>
      <c r="C287" s="5" t="s">
        <v>2205</v>
      </c>
      <c r="D287" s="5" t="s">
        <v>3385</v>
      </c>
      <c r="E287" s="8">
        <v>1</v>
      </c>
      <c r="F287" s="5" t="s">
        <v>132</v>
      </c>
      <c r="G287" s="5" t="s">
        <v>668</v>
      </c>
      <c r="H287" s="5" t="s">
        <v>2204</v>
      </c>
      <c r="I287" s="5"/>
      <c r="J287" s="5"/>
      <c r="K287" s="5" t="s">
        <v>3105</v>
      </c>
      <c r="L287" s="5" t="s">
        <v>276</v>
      </c>
      <c r="M287" s="5" t="s">
        <v>851</v>
      </c>
    </row>
    <row r="288" spans="1:13" ht="50.1" customHeight="1" x14ac:dyDescent="0.2">
      <c r="A288" s="5" t="s">
        <v>2210</v>
      </c>
      <c r="B288" s="5" t="s">
        <v>2211</v>
      </c>
      <c r="C288" s="5" t="s">
        <v>2213</v>
      </c>
      <c r="D288" s="5" t="s">
        <v>3386</v>
      </c>
      <c r="E288" s="8">
        <v>1</v>
      </c>
      <c r="F288" s="5" t="s">
        <v>132</v>
      </c>
      <c r="G288" s="5" t="s">
        <v>668</v>
      </c>
      <c r="H288" s="5" t="s">
        <v>2212</v>
      </c>
      <c r="I288" s="5"/>
      <c r="J288" s="5"/>
      <c r="K288" s="5" t="s">
        <v>3105</v>
      </c>
      <c r="L288" s="5" t="s">
        <v>276</v>
      </c>
      <c r="M288" s="5" t="s">
        <v>851</v>
      </c>
    </row>
    <row r="289" spans="1:13" ht="50.1" customHeight="1" x14ac:dyDescent="0.2">
      <c r="A289" s="5" t="s">
        <v>2218</v>
      </c>
      <c r="B289" s="5" t="s">
        <v>2219</v>
      </c>
      <c r="C289" s="5" t="s">
        <v>2221</v>
      </c>
      <c r="D289" s="5" t="s">
        <v>3387</v>
      </c>
      <c r="E289" s="8">
        <v>1</v>
      </c>
      <c r="F289" s="5" t="s">
        <v>132</v>
      </c>
      <c r="G289" s="5" t="s">
        <v>668</v>
      </c>
      <c r="H289" s="5" t="s">
        <v>2220</v>
      </c>
      <c r="I289" s="5"/>
      <c r="J289" s="5"/>
      <c r="K289" s="5" t="s">
        <v>3105</v>
      </c>
      <c r="L289" s="5" t="s">
        <v>276</v>
      </c>
      <c r="M289" s="5" t="s">
        <v>851</v>
      </c>
    </row>
    <row r="290" spans="1:13" ht="50.1" customHeight="1" x14ac:dyDescent="0.2">
      <c r="A290" s="5" t="s">
        <v>2225</v>
      </c>
      <c r="B290" s="5" t="s">
        <v>2226</v>
      </c>
      <c r="C290" s="5" t="s">
        <v>2228</v>
      </c>
      <c r="D290" s="5" t="s">
        <v>3388</v>
      </c>
      <c r="E290" s="8">
        <v>1</v>
      </c>
      <c r="F290" s="5" t="s">
        <v>132</v>
      </c>
      <c r="G290" s="5" t="s">
        <v>668</v>
      </c>
      <c r="H290" s="5" t="s">
        <v>2227</v>
      </c>
      <c r="I290" s="5"/>
      <c r="J290" s="5"/>
      <c r="K290" s="5" t="s">
        <v>3105</v>
      </c>
      <c r="L290" s="5" t="s">
        <v>276</v>
      </c>
      <c r="M290" s="5" t="s">
        <v>851</v>
      </c>
    </row>
    <row r="291" spans="1:13" ht="57" customHeight="1" x14ac:dyDescent="0.2">
      <c r="A291" s="5" t="s">
        <v>2232</v>
      </c>
      <c r="B291" s="5" t="s">
        <v>2233</v>
      </c>
      <c r="C291" s="5" t="s">
        <v>2235</v>
      </c>
      <c r="D291" s="5" t="s">
        <v>3389</v>
      </c>
      <c r="E291" s="8">
        <v>1</v>
      </c>
      <c r="F291" s="5" t="s">
        <v>132</v>
      </c>
      <c r="G291" s="5" t="s">
        <v>668</v>
      </c>
      <c r="H291" s="5" t="s">
        <v>2234</v>
      </c>
      <c r="I291" s="5"/>
      <c r="J291" s="5"/>
      <c r="K291" s="5" t="s">
        <v>3105</v>
      </c>
      <c r="L291" s="5" t="s">
        <v>276</v>
      </c>
      <c r="M291" s="5" t="s">
        <v>851</v>
      </c>
    </row>
    <row r="292" spans="1:13" ht="50.1" customHeight="1" x14ac:dyDescent="0.2">
      <c r="A292" s="5" t="s">
        <v>2240</v>
      </c>
      <c r="B292" s="5" t="s">
        <v>2241</v>
      </c>
      <c r="C292" s="5" t="s">
        <v>2243</v>
      </c>
      <c r="D292" s="5" t="s">
        <v>3390</v>
      </c>
      <c r="E292" s="8">
        <v>1</v>
      </c>
      <c r="F292" s="5" t="s">
        <v>132</v>
      </c>
      <c r="G292" s="5" t="s">
        <v>668</v>
      </c>
      <c r="H292" s="5" t="s">
        <v>2242</v>
      </c>
      <c r="I292" s="5"/>
      <c r="J292" s="5"/>
      <c r="K292" s="5" t="s">
        <v>3105</v>
      </c>
      <c r="L292" s="5" t="s">
        <v>276</v>
      </c>
      <c r="M292" s="5" t="s">
        <v>851</v>
      </c>
    </row>
    <row r="293" spans="1:13" ht="50.1" customHeight="1" x14ac:dyDescent="0.2">
      <c r="A293" s="5" t="s">
        <v>2246</v>
      </c>
      <c r="B293" s="5" t="s">
        <v>356</v>
      </c>
      <c r="C293" s="5" t="s">
        <v>2248</v>
      </c>
      <c r="D293" s="5" t="s">
        <v>3391</v>
      </c>
      <c r="E293" s="8">
        <v>1</v>
      </c>
      <c r="F293" s="5" t="s">
        <v>132</v>
      </c>
      <c r="G293" s="5" t="s">
        <v>668</v>
      </c>
      <c r="H293" s="5" t="s">
        <v>2247</v>
      </c>
      <c r="I293" s="5"/>
      <c r="J293" s="5"/>
      <c r="K293" s="5" t="s">
        <v>3105</v>
      </c>
      <c r="L293" s="5" t="s">
        <v>276</v>
      </c>
      <c r="M293" s="5" t="s">
        <v>851</v>
      </c>
    </row>
    <row r="294" spans="1:13" ht="50.1" customHeight="1" x14ac:dyDescent="0.2">
      <c r="A294" s="5" t="s">
        <v>2251</v>
      </c>
      <c r="B294" s="5" t="s">
        <v>368</v>
      </c>
      <c r="C294" s="5" t="s">
        <v>2253</v>
      </c>
      <c r="D294" s="5" t="s">
        <v>3392</v>
      </c>
      <c r="E294" s="8">
        <v>1</v>
      </c>
      <c r="F294" s="5" t="s">
        <v>132</v>
      </c>
      <c r="G294" s="5" t="s">
        <v>668</v>
      </c>
      <c r="H294" s="5" t="s">
        <v>2252</v>
      </c>
      <c r="I294" s="5"/>
      <c r="J294" s="5"/>
      <c r="K294" s="5" t="s">
        <v>3105</v>
      </c>
      <c r="L294" s="5" t="s">
        <v>276</v>
      </c>
      <c r="M294" s="5" t="s">
        <v>851</v>
      </c>
    </row>
    <row r="295" spans="1:13" ht="50.1" customHeight="1" x14ac:dyDescent="0.2">
      <c r="A295" s="5" t="s">
        <v>2256</v>
      </c>
      <c r="B295" s="5" t="s">
        <v>376</v>
      </c>
      <c r="C295" s="5" t="s">
        <v>2258</v>
      </c>
      <c r="D295" s="5" t="s">
        <v>3393</v>
      </c>
      <c r="E295" s="8">
        <v>1</v>
      </c>
      <c r="F295" s="5" t="s">
        <v>132</v>
      </c>
      <c r="G295" s="5" t="s">
        <v>668</v>
      </c>
      <c r="H295" s="5" t="s">
        <v>2257</v>
      </c>
      <c r="I295" s="5"/>
      <c r="J295" s="5"/>
      <c r="K295" s="5" t="s">
        <v>3105</v>
      </c>
      <c r="L295" s="5" t="s">
        <v>276</v>
      </c>
      <c r="M295" s="5" t="s">
        <v>851</v>
      </c>
    </row>
    <row r="296" spans="1:13" ht="50.1" customHeight="1" x14ac:dyDescent="0.2">
      <c r="A296" s="5" t="s">
        <v>2261</v>
      </c>
      <c r="B296" s="5" t="s">
        <v>2203</v>
      </c>
      <c r="C296" s="5" t="s">
        <v>2263</v>
      </c>
      <c r="D296" s="5" t="s">
        <v>3394</v>
      </c>
      <c r="E296" s="8">
        <v>1</v>
      </c>
      <c r="F296" s="5" t="s">
        <v>132</v>
      </c>
      <c r="G296" s="5" t="s">
        <v>668</v>
      </c>
      <c r="H296" s="5" t="s">
        <v>2262</v>
      </c>
      <c r="I296" s="5"/>
      <c r="J296" s="5"/>
      <c r="K296" s="5" t="s">
        <v>3105</v>
      </c>
      <c r="L296" s="5" t="s">
        <v>276</v>
      </c>
      <c r="M296" s="5" t="s">
        <v>851</v>
      </c>
    </row>
    <row r="297" spans="1:13" ht="50.1" customHeight="1" x14ac:dyDescent="0.2">
      <c r="A297" s="5" t="s">
        <v>2266</v>
      </c>
      <c r="B297" s="5" t="s">
        <v>420</v>
      </c>
      <c r="C297" s="5" t="s">
        <v>2268</v>
      </c>
      <c r="D297" s="5" t="s">
        <v>3395</v>
      </c>
      <c r="E297" s="8">
        <v>1</v>
      </c>
      <c r="F297" s="5" t="s">
        <v>132</v>
      </c>
      <c r="G297" s="5" t="s">
        <v>668</v>
      </c>
      <c r="H297" s="5" t="s">
        <v>2267</v>
      </c>
      <c r="I297" s="5"/>
      <c r="J297" s="5"/>
      <c r="K297" s="5" t="s">
        <v>3105</v>
      </c>
      <c r="L297" s="5" t="s">
        <v>276</v>
      </c>
      <c r="M297" s="5" t="s">
        <v>851</v>
      </c>
    </row>
    <row r="298" spans="1:13" ht="57" customHeight="1" x14ac:dyDescent="0.2">
      <c r="A298" s="5" t="s">
        <v>2271</v>
      </c>
      <c r="B298" s="5" t="s">
        <v>2272</v>
      </c>
      <c r="C298" s="5" t="s">
        <v>2274</v>
      </c>
      <c r="D298" s="5" t="s">
        <v>3396</v>
      </c>
      <c r="E298" s="8">
        <v>1</v>
      </c>
      <c r="F298" s="5" t="s">
        <v>132</v>
      </c>
      <c r="G298" s="5" t="s">
        <v>668</v>
      </c>
      <c r="H298" s="5" t="s">
        <v>2273</v>
      </c>
      <c r="I298" s="5"/>
      <c r="J298" s="5"/>
      <c r="K298" s="5" t="s">
        <v>3105</v>
      </c>
      <c r="L298" s="5" t="s">
        <v>276</v>
      </c>
      <c r="M298" s="5" t="s">
        <v>851</v>
      </c>
    </row>
    <row r="299" spans="1:13" ht="50.1" customHeight="1" x14ac:dyDescent="0.2">
      <c r="A299" s="5" t="s">
        <v>2279</v>
      </c>
      <c r="B299" s="5" t="s">
        <v>1700</v>
      </c>
      <c r="C299" s="5" t="s">
        <v>2281</v>
      </c>
      <c r="D299" s="5" t="s">
        <v>3397</v>
      </c>
      <c r="E299" s="8">
        <v>1</v>
      </c>
      <c r="F299" s="5" t="s">
        <v>132</v>
      </c>
      <c r="G299" s="5" t="s">
        <v>668</v>
      </c>
      <c r="H299" s="5" t="s">
        <v>2280</v>
      </c>
      <c r="I299" s="5"/>
      <c r="J299" s="5"/>
      <c r="K299" s="5" t="s">
        <v>3105</v>
      </c>
      <c r="L299" s="5" t="s">
        <v>276</v>
      </c>
      <c r="M299" s="5" t="s">
        <v>851</v>
      </c>
    </row>
    <row r="300" spans="1:13" ht="57" customHeight="1" x14ac:dyDescent="0.2">
      <c r="A300" s="5" t="s">
        <v>2284</v>
      </c>
      <c r="B300" s="5" t="s">
        <v>2285</v>
      </c>
      <c r="C300" s="5" t="s">
        <v>2287</v>
      </c>
      <c r="D300" s="5" t="s">
        <v>3398</v>
      </c>
      <c r="E300" s="8">
        <v>1</v>
      </c>
      <c r="F300" s="5" t="s">
        <v>132</v>
      </c>
      <c r="G300" s="5" t="s">
        <v>668</v>
      </c>
      <c r="H300" s="5" t="s">
        <v>2286</v>
      </c>
      <c r="I300" s="5"/>
      <c r="J300" s="5"/>
      <c r="K300" s="5" t="s">
        <v>3105</v>
      </c>
      <c r="L300" s="5" t="s">
        <v>276</v>
      </c>
      <c r="M300" s="5" t="s">
        <v>851</v>
      </c>
    </row>
    <row r="301" spans="1:13" ht="57" customHeight="1" x14ac:dyDescent="0.2">
      <c r="A301" s="5" t="s">
        <v>2292</v>
      </c>
      <c r="B301" s="5" t="s">
        <v>2293</v>
      </c>
      <c r="C301" s="5" t="s">
        <v>2295</v>
      </c>
      <c r="D301" s="5" t="s">
        <v>3399</v>
      </c>
      <c r="E301" s="8">
        <v>1</v>
      </c>
      <c r="F301" s="5" t="s">
        <v>132</v>
      </c>
      <c r="G301" s="5" t="s">
        <v>668</v>
      </c>
      <c r="H301" s="5" t="s">
        <v>2294</v>
      </c>
      <c r="I301" s="5"/>
      <c r="J301" s="5"/>
      <c r="K301" s="5" t="s">
        <v>3105</v>
      </c>
      <c r="L301" s="5" t="s">
        <v>276</v>
      </c>
      <c r="M301" s="5" t="s">
        <v>851</v>
      </c>
    </row>
    <row r="302" spans="1:13" ht="50.1" customHeight="1" x14ac:dyDescent="0.2">
      <c r="A302" s="5" t="s">
        <v>2300</v>
      </c>
      <c r="B302" s="5" t="s">
        <v>2301</v>
      </c>
      <c r="C302" s="5" t="s">
        <v>2303</v>
      </c>
      <c r="D302" s="5" t="s">
        <v>3400</v>
      </c>
      <c r="E302" s="8">
        <v>1</v>
      </c>
      <c r="F302" s="5" t="s">
        <v>132</v>
      </c>
      <c r="G302" s="5" t="s">
        <v>668</v>
      </c>
      <c r="H302" s="5" t="s">
        <v>2302</v>
      </c>
      <c r="I302" s="5"/>
      <c r="J302" s="5"/>
      <c r="K302" s="5" t="s">
        <v>3105</v>
      </c>
      <c r="L302" s="5" t="s">
        <v>276</v>
      </c>
      <c r="M302" s="5" t="s">
        <v>851</v>
      </c>
    </row>
    <row r="303" spans="1:13" ht="50.1" customHeight="1" x14ac:dyDescent="0.2">
      <c r="A303" s="5" t="s">
        <v>2306</v>
      </c>
      <c r="B303" s="5" t="s">
        <v>356</v>
      </c>
      <c r="C303" s="5" t="s">
        <v>2308</v>
      </c>
      <c r="D303" s="5" t="s">
        <v>3401</v>
      </c>
      <c r="E303" s="8">
        <v>1</v>
      </c>
      <c r="F303" s="5" t="s">
        <v>132</v>
      </c>
      <c r="G303" s="5" t="s">
        <v>668</v>
      </c>
      <c r="H303" s="5" t="s">
        <v>2307</v>
      </c>
      <c r="I303" s="5"/>
      <c r="J303" s="5"/>
      <c r="K303" s="5" t="s">
        <v>3105</v>
      </c>
      <c r="L303" s="5" t="s">
        <v>276</v>
      </c>
      <c r="M303" s="5" t="s">
        <v>851</v>
      </c>
    </row>
    <row r="304" spans="1:13" ht="50.1" customHeight="1" x14ac:dyDescent="0.2">
      <c r="A304" s="5" t="s">
        <v>2311</v>
      </c>
      <c r="B304" s="5" t="s">
        <v>368</v>
      </c>
      <c r="C304" s="5" t="s">
        <v>2313</v>
      </c>
      <c r="D304" s="5" t="s">
        <v>3402</v>
      </c>
      <c r="E304" s="8">
        <v>1</v>
      </c>
      <c r="F304" s="5" t="s">
        <v>132</v>
      </c>
      <c r="G304" s="5" t="s">
        <v>668</v>
      </c>
      <c r="H304" s="5" t="s">
        <v>2312</v>
      </c>
      <c r="I304" s="5"/>
      <c r="J304" s="5"/>
      <c r="K304" s="5" t="s">
        <v>3105</v>
      </c>
      <c r="L304" s="5" t="s">
        <v>276</v>
      </c>
      <c r="M304" s="5" t="s">
        <v>851</v>
      </c>
    </row>
    <row r="305" spans="1:13" ht="50.1" customHeight="1" x14ac:dyDescent="0.2">
      <c r="A305" s="5" t="s">
        <v>2316</v>
      </c>
      <c r="B305" s="5" t="s">
        <v>376</v>
      </c>
      <c r="C305" s="5" t="s">
        <v>2318</v>
      </c>
      <c r="D305" s="5" t="s">
        <v>3403</v>
      </c>
      <c r="E305" s="8">
        <v>1</v>
      </c>
      <c r="F305" s="5" t="s">
        <v>132</v>
      </c>
      <c r="G305" s="5" t="s">
        <v>668</v>
      </c>
      <c r="H305" s="5" t="s">
        <v>2317</v>
      </c>
      <c r="I305" s="5"/>
      <c r="J305" s="5"/>
      <c r="K305" s="5" t="s">
        <v>3105</v>
      </c>
      <c r="L305" s="5" t="s">
        <v>276</v>
      </c>
      <c r="M305" s="5" t="s">
        <v>851</v>
      </c>
    </row>
    <row r="306" spans="1:13" ht="50.1" customHeight="1" x14ac:dyDescent="0.2">
      <c r="A306" s="5" t="s">
        <v>2321</v>
      </c>
      <c r="B306" s="5" t="s">
        <v>412</v>
      </c>
      <c r="C306" s="5" t="s">
        <v>2323</v>
      </c>
      <c r="D306" s="5" t="s">
        <v>3404</v>
      </c>
      <c r="E306" s="8">
        <v>1</v>
      </c>
      <c r="F306" s="5" t="s">
        <v>132</v>
      </c>
      <c r="G306" s="5" t="s">
        <v>668</v>
      </c>
      <c r="H306" s="5" t="s">
        <v>2322</v>
      </c>
      <c r="I306" s="5"/>
      <c r="J306" s="5"/>
      <c r="K306" s="5" t="s">
        <v>3105</v>
      </c>
      <c r="L306" s="5" t="s">
        <v>276</v>
      </c>
      <c r="M306" s="5" t="s">
        <v>851</v>
      </c>
    </row>
    <row r="307" spans="1:13" ht="50.1" customHeight="1" x14ac:dyDescent="0.2">
      <c r="A307" s="5" t="s">
        <v>2326</v>
      </c>
      <c r="B307" s="5" t="s">
        <v>818</v>
      </c>
      <c r="C307" s="5" t="s">
        <v>2328</v>
      </c>
      <c r="D307" s="5" t="s">
        <v>3405</v>
      </c>
      <c r="E307" s="8">
        <v>1</v>
      </c>
      <c r="F307" s="5" t="s">
        <v>132</v>
      </c>
      <c r="G307" s="5" t="s">
        <v>668</v>
      </c>
      <c r="H307" s="5" t="s">
        <v>2327</v>
      </c>
      <c r="I307" s="5"/>
      <c r="J307" s="5"/>
      <c r="K307" s="5" t="s">
        <v>3105</v>
      </c>
      <c r="L307" s="5" t="s">
        <v>276</v>
      </c>
      <c r="M307" s="5" t="s">
        <v>851</v>
      </c>
    </row>
    <row r="308" spans="1:13" ht="50.1" customHeight="1" x14ac:dyDescent="0.2">
      <c r="A308" s="5" t="s">
        <v>2331</v>
      </c>
      <c r="B308" s="5" t="s">
        <v>2332</v>
      </c>
      <c r="C308" s="5" t="s">
        <v>2334</v>
      </c>
      <c r="D308" s="5" t="s">
        <v>3406</v>
      </c>
      <c r="E308" s="8">
        <v>1</v>
      </c>
      <c r="F308" s="5" t="s">
        <v>132</v>
      </c>
      <c r="G308" s="5" t="s">
        <v>668</v>
      </c>
      <c r="H308" s="5" t="s">
        <v>2333</v>
      </c>
      <c r="I308" s="5"/>
      <c r="J308" s="5"/>
      <c r="K308" s="5" t="s">
        <v>3105</v>
      </c>
      <c r="L308" s="5" t="s">
        <v>276</v>
      </c>
      <c r="M308" s="5" t="s">
        <v>851</v>
      </c>
    </row>
    <row r="309" spans="1:13" ht="50.1" customHeight="1" x14ac:dyDescent="0.2">
      <c r="A309" s="5" t="s">
        <v>2339</v>
      </c>
      <c r="B309" s="5" t="s">
        <v>2340</v>
      </c>
      <c r="C309" s="5" t="s">
        <v>2342</v>
      </c>
      <c r="D309" s="5" t="s">
        <v>3407</v>
      </c>
      <c r="E309" s="8">
        <v>1</v>
      </c>
      <c r="F309" s="5" t="s">
        <v>132</v>
      </c>
      <c r="G309" s="5" t="s">
        <v>668</v>
      </c>
      <c r="H309" s="5" t="s">
        <v>2341</v>
      </c>
      <c r="I309" s="5"/>
      <c r="J309" s="5"/>
      <c r="K309" s="5" t="s">
        <v>3105</v>
      </c>
      <c r="L309" s="5" t="s">
        <v>276</v>
      </c>
      <c r="M309" s="5" t="s">
        <v>851</v>
      </c>
    </row>
    <row r="310" spans="1:13" ht="50.1" customHeight="1" x14ac:dyDescent="0.2">
      <c r="A310" s="5" t="s">
        <v>2347</v>
      </c>
      <c r="B310" s="5" t="s">
        <v>2348</v>
      </c>
      <c r="C310" s="5" t="s">
        <v>2350</v>
      </c>
      <c r="D310" s="5" t="s">
        <v>3408</v>
      </c>
      <c r="E310" s="8">
        <v>1</v>
      </c>
      <c r="F310" s="5" t="s">
        <v>132</v>
      </c>
      <c r="G310" s="5" t="s">
        <v>668</v>
      </c>
      <c r="H310" s="5" t="s">
        <v>2349</v>
      </c>
      <c r="I310" s="5"/>
      <c r="J310" s="5"/>
      <c r="K310" s="5" t="s">
        <v>3105</v>
      </c>
      <c r="L310" s="5" t="s">
        <v>276</v>
      </c>
      <c r="M310" s="5" t="s">
        <v>851</v>
      </c>
    </row>
    <row r="311" spans="1:13" ht="50.1" customHeight="1" x14ac:dyDescent="0.2">
      <c r="A311" s="5" t="s">
        <v>2354</v>
      </c>
      <c r="B311" s="5" t="s">
        <v>2355</v>
      </c>
      <c r="C311" s="5" t="s">
        <v>2357</v>
      </c>
      <c r="D311" s="5" t="s">
        <v>3409</v>
      </c>
      <c r="E311" s="8">
        <v>1</v>
      </c>
      <c r="F311" s="5" t="s">
        <v>132</v>
      </c>
      <c r="G311" s="5" t="s">
        <v>668</v>
      </c>
      <c r="H311" s="5" t="s">
        <v>2356</v>
      </c>
      <c r="I311" s="5"/>
      <c r="J311" s="5"/>
      <c r="K311" s="5" t="s">
        <v>3105</v>
      </c>
      <c r="L311" s="5" t="s">
        <v>276</v>
      </c>
      <c r="M311" s="5" t="s">
        <v>851</v>
      </c>
    </row>
    <row r="312" spans="1:13" ht="50.1" customHeight="1" x14ac:dyDescent="0.2">
      <c r="A312" s="5" t="s">
        <v>2362</v>
      </c>
      <c r="B312" s="5" t="s">
        <v>2363</v>
      </c>
      <c r="C312" s="5" t="s">
        <v>2365</v>
      </c>
      <c r="D312" s="5" t="s">
        <v>3410</v>
      </c>
      <c r="E312" s="8">
        <v>1</v>
      </c>
      <c r="F312" s="5" t="s">
        <v>132</v>
      </c>
      <c r="G312" s="5" t="s">
        <v>668</v>
      </c>
      <c r="H312" s="5" t="s">
        <v>2364</v>
      </c>
      <c r="I312" s="5"/>
      <c r="J312" s="5"/>
      <c r="K312" s="5" t="s">
        <v>3105</v>
      </c>
      <c r="L312" s="5" t="s">
        <v>276</v>
      </c>
      <c r="M312" s="5" t="s">
        <v>851</v>
      </c>
    </row>
    <row r="313" spans="1:13" ht="50.1" customHeight="1" x14ac:dyDescent="0.2">
      <c r="A313" s="5" t="s">
        <v>2370</v>
      </c>
      <c r="B313" s="5" t="s">
        <v>2371</v>
      </c>
      <c r="C313" s="5" t="s">
        <v>2373</v>
      </c>
      <c r="D313" s="5" t="s">
        <v>3411</v>
      </c>
      <c r="E313" s="8">
        <v>1</v>
      </c>
      <c r="F313" s="5" t="s">
        <v>132</v>
      </c>
      <c r="G313" s="5" t="s">
        <v>668</v>
      </c>
      <c r="H313" s="5" t="s">
        <v>2372</v>
      </c>
      <c r="I313" s="5"/>
      <c r="J313" s="5"/>
      <c r="K313" s="5" t="s">
        <v>3105</v>
      </c>
      <c r="L313" s="5" t="s">
        <v>276</v>
      </c>
      <c r="M313" s="5" t="s">
        <v>851</v>
      </c>
    </row>
    <row r="314" spans="1:13" ht="50.1" customHeight="1" x14ac:dyDescent="0.2">
      <c r="A314" s="5" t="s">
        <v>2376</v>
      </c>
      <c r="B314" s="5" t="s">
        <v>356</v>
      </c>
      <c r="C314" s="5" t="s">
        <v>2378</v>
      </c>
      <c r="D314" s="5" t="s">
        <v>3412</v>
      </c>
      <c r="E314" s="8">
        <v>1</v>
      </c>
      <c r="F314" s="5" t="s">
        <v>132</v>
      </c>
      <c r="G314" s="5" t="s">
        <v>668</v>
      </c>
      <c r="H314" s="5" t="s">
        <v>2377</v>
      </c>
      <c r="I314" s="5"/>
      <c r="J314" s="5"/>
      <c r="K314" s="5" t="s">
        <v>3105</v>
      </c>
      <c r="L314" s="5" t="s">
        <v>276</v>
      </c>
      <c r="M314" s="5" t="s">
        <v>851</v>
      </c>
    </row>
    <row r="315" spans="1:13" ht="50.1" customHeight="1" x14ac:dyDescent="0.2">
      <c r="A315" s="5" t="s">
        <v>2381</v>
      </c>
      <c r="B315" s="5" t="s">
        <v>368</v>
      </c>
      <c r="C315" s="5" t="s">
        <v>2383</v>
      </c>
      <c r="D315" s="5" t="s">
        <v>3413</v>
      </c>
      <c r="E315" s="8">
        <v>1</v>
      </c>
      <c r="F315" s="5" t="s">
        <v>132</v>
      </c>
      <c r="G315" s="5" t="s">
        <v>668</v>
      </c>
      <c r="H315" s="5" t="s">
        <v>2382</v>
      </c>
      <c r="I315" s="5"/>
      <c r="J315" s="5"/>
      <c r="K315" s="5" t="s">
        <v>3105</v>
      </c>
      <c r="L315" s="5" t="s">
        <v>276</v>
      </c>
      <c r="M315" s="5" t="s">
        <v>851</v>
      </c>
    </row>
    <row r="316" spans="1:13" ht="50.1" customHeight="1" x14ac:dyDescent="0.2">
      <c r="A316" s="5" t="s">
        <v>2386</v>
      </c>
      <c r="B316" s="5" t="s">
        <v>376</v>
      </c>
      <c r="C316" s="5" t="s">
        <v>2388</v>
      </c>
      <c r="D316" s="5" t="s">
        <v>3414</v>
      </c>
      <c r="E316" s="8">
        <v>1</v>
      </c>
      <c r="F316" s="5" t="s">
        <v>132</v>
      </c>
      <c r="G316" s="5" t="s">
        <v>668</v>
      </c>
      <c r="H316" s="5" t="s">
        <v>2387</v>
      </c>
      <c r="I316" s="5"/>
      <c r="J316" s="5"/>
      <c r="K316" s="5" t="s">
        <v>3105</v>
      </c>
      <c r="L316" s="5" t="s">
        <v>276</v>
      </c>
      <c r="M316" s="5" t="s">
        <v>851</v>
      </c>
    </row>
    <row r="317" spans="1:13" ht="50.1" customHeight="1" x14ac:dyDescent="0.2">
      <c r="A317" s="5" t="s">
        <v>2391</v>
      </c>
      <c r="B317" s="5" t="s">
        <v>500</v>
      </c>
      <c r="C317" s="5" t="s">
        <v>2393</v>
      </c>
      <c r="D317" s="5" t="s">
        <v>3415</v>
      </c>
      <c r="E317" s="8">
        <v>1</v>
      </c>
      <c r="F317" s="5" t="s">
        <v>132</v>
      </c>
      <c r="G317" s="5" t="s">
        <v>668</v>
      </c>
      <c r="H317" s="5" t="s">
        <v>2392</v>
      </c>
      <c r="I317" s="5"/>
      <c r="J317" s="5"/>
      <c r="K317" s="5" t="s">
        <v>3105</v>
      </c>
      <c r="L317" s="5" t="s">
        <v>276</v>
      </c>
      <c r="M317" s="5" t="s">
        <v>851</v>
      </c>
    </row>
    <row r="318" spans="1:13" ht="50.1" customHeight="1" x14ac:dyDescent="0.2">
      <c r="A318" s="5" t="s">
        <v>2396</v>
      </c>
      <c r="B318" s="5" t="s">
        <v>595</v>
      </c>
      <c r="C318" s="5" t="s">
        <v>2398</v>
      </c>
      <c r="D318" s="5" t="s">
        <v>3416</v>
      </c>
      <c r="E318" s="8">
        <v>1</v>
      </c>
      <c r="F318" s="5" t="s">
        <v>132</v>
      </c>
      <c r="G318" s="5" t="s">
        <v>668</v>
      </c>
      <c r="H318" s="5" t="s">
        <v>2397</v>
      </c>
      <c r="I318" s="5"/>
      <c r="J318" s="5"/>
      <c r="K318" s="5" t="s">
        <v>3105</v>
      </c>
      <c r="L318" s="5" t="s">
        <v>276</v>
      </c>
      <c r="M318" s="5" t="s">
        <v>851</v>
      </c>
    </row>
    <row r="319" spans="1:13" ht="50.1" customHeight="1" x14ac:dyDescent="0.2">
      <c r="A319" s="5" t="s">
        <v>2401</v>
      </c>
      <c r="B319" s="5" t="s">
        <v>449</v>
      </c>
      <c r="C319" s="5" t="s">
        <v>2403</v>
      </c>
      <c r="D319" s="5" t="s">
        <v>3417</v>
      </c>
      <c r="E319" s="8">
        <v>1</v>
      </c>
      <c r="F319" s="5" t="s">
        <v>132</v>
      </c>
      <c r="G319" s="5" t="s">
        <v>668</v>
      </c>
      <c r="H319" s="5" t="s">
        <v>2402</v>
      </c>
      <c r="I319" s="5"/>
      <c r="J319" s="5"/>
      <c r="K319" s="5" t="s">
        <v>3105</v>
      </c>
      <c r="L319" s="5" t="s">
        <v>276</v>
      </c>
      <c r="M319" s="5" t="s">
        <v>851</v>
      </c>
    </row>
    <row r="320" spans="1:13" ht="50.1" customHeight="1" x14ac:dyDescent="0.2">
      <c r="A320" s="5" t="s">
        <v>2406</v>
      </c>
      <c r="B320" s="5" t="s">
        <v>457</v>
      </c>
      <c r="C320" s="5" t="s">
        <v>2408</v>
      </c>
      <c r="D320" s="5" t="s">
        <v>3418</v>
      </c>
      <c r="E320" s="8">
        <v>1</v>
      </c>
      <c r="F320" s="5" t="s">
        <v>132</v>
      </c>
      <c r="G320" s="5" t="s">
        <v>668</v>
      </c>
      <c r="H320" s="5" t="s">
        <v>2407</v>
      </c>
      <c r="I320" s="5"/>
      <c r="J320" s="5"/>
      <c r="K320" s="5" t="s">
        <v>3105</v>
      </c>
      <c r="L320" s="5" t="s">
        <v>276</v>
      </c>
      <c r="M320" s="5" t="s">
        <v>851</v>
      </c>
    </row>
    <row r="321" spans="1:13" ht="50.1" customHeight="1" x14ac:dyDescent="0.2">
      <c r="A321" s="5" t="s">
        <v>2411</v>
      </c>
      <c r="B321" s="5" t="s">
        <v>465</v>
      </c>
      <c r="C321" s="5" t="s">
        <v>2413</v>
      </c>
      <c r="D321" s="5" t="s">
        <v>3419</v>
      </c>
      <c r="E321" s="8">
        <v>1</v>
      </c>
      <c r="F321" s="5" t="s">
        <v>132</v>
      </c>
      <c r="G321" s="5" t="s">
        <v>668</v>
      </c>
      <c r="H321" s="5" t="s">
        <v>2412</v>
      </c>
      <c r="I321" s="5"/>
      <c r="J321" s="5"/>
      <c r="K321" s="5" t="s">
        <v>3105</v>
      </c>
      <c r="L321" s="5" t="s">
        <v>276</v>
      </c>
      <c r="M321" s="5" t="s">
        <v>851</v>
      </c>
    </row>
    <row r="322" spans="1:13" ht="57" customHeight="1" x14ac:dyDescent="0.2">
      <c r="A322" s="5" t="s">
        <v>2416</v>
      </c>
      <c r="B322" s="5" t="s">
        <v>2417</v>
      </c>
      <c r="C322" s="5" t="s">
        <v>2419</v>
      </c>
      <c r="D322" s="5" t="s">
        <v>3420</v>
      </c>
      <c r="E322" s="8">
        <v>1</v>
      </c>
      <c r="F322" s="5" t="s">
        <v>132</v>
      </c>
      <c r="G322" s="5" t="s">
        <v>668</v>
      </c>
      <c r="H322" s="5" t="s">
        <v>2418</v>
      </c>
      <c r="I322" s="5"/>
      <c r="J322" s="5"/>
      <c r="K322" s="5" t="s">
        <v>3105</v>
      </c>
      <c r="L322" s="5" t="s">
        <v>276</v>
      </c>
      <c r="M322" s="5" t="s">
        <v>851</v>
      </c>
    </row>
    <row r="323" spans="1:13" ht="50.1" customHeight="1" x14ac:dyDescent="0.2">
      <c r="A323" s="5" t="s">
        <v>2424</v>
      </c>
      <c r="B323" s="5" t="s">
        <v>420</v>
      </c>
      <c r="C323" s="5" t="s">
        <v>2426</v>
      </c>
      <c r="D323" s="5" t="s">
        <v>3421</v>
      </c>
      <c r="E323" s="8">
        <v>1</v>
      </c>
      <c r="F323" s="5" t="s">
        <v>132</v>
      </c>
      <c r="G323" s="5" t="s">
        <v>668</v>
      </c>
      <c r="H323" s="5" t="s">
        <v>2425</v>
      </c>
      <c r="I323" s="5"/>
      <c r="J323" s="5"/>
      <c r="K323" s="5" t="s">
        <v>3105</v>
      </c>
      <c r="L323" s="5" t="s">
        <v>276</v>
      </c>
      <c r="M323" s="5" t="s">
        <v>851</v>
      </c>
    </row>
    <row r="324" spans="1:13" ht="50.1" customHeight="1" x14ac:dyDescent="0.2">
      <c r="A324" s="5" t="s">
        <v>2429</v>
      </c>
      <c r="B324" s="5" t="s">
        <v>2430</v>
      </c>
      <c r="C324" s="5" t="s">
        <v>2432</v>
      </c>
      <c r="D324" s="5" t="s">
        <v>3422</v>
      </c>
      <c r="E324" s="8">
        <v>1</v>
      </c>
      <c r="F324" s="5" t="s">
        <v>132</v>
      </c>
      <c r="G324" s="5" t="s">
        <v>668</v>
      </c>
      <c r="H324" s="5" t="s">
        <v>2431</v>
      </c>
      <c r="I324" s="5"/>
      <c r="J324" s="5"/>
      <c r="K324" s="5" t="s">
        <v>3105</v>
      </c>
      <c r="L324" s="5" t="s">
        <v>276</v>
      </c>
      <c r="M324" s="5" t="s">
        <v>851</v>
      </c>
    </row>
    <row r="325" spans="1:13" ht="50.1" customHeight="1" x14ac:dyDescent="0.2">
      <c r="A325" s="5" t="s">
        <v>2435</v>
      </c>
      <c r="B325" s="5" t="s">
        <v>356</v>
      </c>
      <c r="C325" s="5" t="s">
        <v>2437</v>
      </c>
      <c r="D325" s="5" t="s">
        <v>3423</v>
      </c>
      <c r="E325" s="8">
        <v>1</v>
      </c>
      <c r="F325" s="5" t="s">
        <v>132</v>
      </c>
      <c r="G325" s="5" t="s">
        <v>668</v>
      </c>
      <c r="H325" s="5" t="s">
        <v>2436</v>
      </c>
      <c r="I325" s="5"/>
      <c r="J325" s="5"/>
      <c r="K325" s="5" t="s">
        <v>3105</v>
      </c>
      <c r="L325" s="5" t="s">
        <v>276</v>
      </c>
      <c r="M325" s="5" t="s">
        <v>851</v>
      </c>
    </row>
    <row r="326" spans="1:13" ht="50.1" customHeight="1" x14ac:dyDescent="0.2">
      <c r="A326" s="5" t="s">
        <v>2440</v>
      </c>
      <c r="B326" s="5" t="s">
        <v>368</v>
      </c>
      <c r="C326" s="5" t="s">
        <v>2442</v>
      </c>
      <c r="D326" s="5" t="s">
        <v>3424</v>
      </c>
      <c r="E326" s="8">
        <v>1</v>
      </c>
      <c r="F326" s="5" t="s">
        <v>132</v>
      </c>
      <c r="G326" s="5" t="s">
        <v>668</v>
      </c>
      <c r="H326" s="5" t="s">
        <v>2441</v>
      </c>
      <c r="I326" s="5"/>
      <c r="J326" s="5"/>
      <c r="K326" s="5" t="s">
        <v>3105</v>
      </c>
      <c r="L326" s="5" t="s">
        <v>276</v>
      </c>
      <c r="M326" s="5" t="s">
        <v>851</v>
      </c>
    </row>
    <row r="327" spans="1:13" ht="50.1" customHeight="1" x14ac:dyDescent="0.2">
      <c r="A327" s="5" t="s">
        <v>2445</v>
      </c>
      <c r="B327" s="5" t="s">
        <v>376</v>
      </c>
      <c r="C327" s="5" t="s">
        <v>2447</v>
      </c>
      <c r="D327" s="5" t="s">
        <v>3425</v>
      </c>
      <c r="E327" s="8">
        <v>1</v>
      </c>
      <c r="F327" s="5" t="s">
        <v>132</v>
      </c>
      <c r="G327" s="5" t="s">
        <v>668</v>
      </c>
      <c r="H327" s="5" t="s">
        <v>2446</v>
      </c>
      <c r="I327" s="5"/>
      <c r="J327" s="5"/>
      <c r="K327" s="5" t="s">
        <v>3105</v>
      </c>
      <c r="L327" s="5" t="s">
        <v>276</v>
      </c>
      <c r="M327" s="5" t="s">
        <v>851</v>
      </c>
    </row>
    <row r="328" spans="1:13" ht="50.1" customHeight="1" x14ac:dyDescent="0.2">
      <c r="A328" s="5" t="s">
        <v>2450</v>
      </c>
      <c r="B328" s="5" t="s">
        <v>500</v>
      </c>
      <c r="C328" s="5" t="s">
        <v>2452</v>
      </c>
      <c r="D328" s="5" t="s">
        <v>3426</v>
      </c>
      <c r="E328" s="8">
        <v>1</v>
      </c>
      <c r="F328" s="5" t="s">
        <v>132</v>
      </c>
      <c r="G328" s="5" t="s">
        <v>668</v>
      </c>
      <c r="H328" s="5" t="s">
        <v>2451</v>
      </c>
      <c r="I328" s="5"/>
      <c r="J328" s="5"/>
      <c r="K328" s="5" t="s">
        <v>3105</v>
      </c>
      <c r="L328" s="5" t="s">
        <v>276</v>
      </c>
      <c r="M328" s="5" t="s">
        <v>851</v>
      </c>
    </row>
    <row r="329" spans="1:13" ht="50.1" customHeight="1" x14ac:dyDescent="0.2">
      <c r="A329" s="5" t="s">
        <v>2455</v>
      </c>
      <c r="B329" s="5" t="s">
        <v>2456</v>
      </c>
      <c r="C329" s="5" t="s">
        <v>2458</v>
      </c>
      <c r="D329" s="5" t="s">
        <v>3427</v>
      </c>
      <c r="E329" s="8">
        <v>1</v>
      </c>
      <c r="F329" s="5" t="s">
        <v>132</v>
      </c>
      <c r="G329" s="5" t="s">
        <v>668</v>
      </c>
      <c r="H329" s="5" t="s">
        <v>2457</v>
      </c>
      <c r="I329" s="5"/>
      <c r="J329" s="5"/>
      <c r="K329" s="5" t="s">
        <v>3105</v>
      </c>
      <c r="L329" s="5" t="s">
        <v>276</v>
      </c>
      <c r="M329" s="5" t="s">
        <v>851</v>
      </c>
    </row>
    <row r="330" spans="1:13" ht="50.1" customHeight="1" x14ac:dyDescent="0.2">
      <c r="A330" s="5" t="s">
        <v>2463</v>
      </c>
      <c r="B330" s="5" t="s">
        <v>2464</v>
      </c>
      <c r="C330" s="5" t="s">
        <v>2466</v>
      </c>
      <c r="D330" s="5" t="s">
        <v>3428</v>
      </c>
      <c r="E330" s="8">
        <v>1</v>
      </c>
      <c r="F330" s="5" t="s">
        <v>132</v>
      </c>
      <c r="G330" s="5" t="s">
        <v>668</v>
      </c>
      <c r="H330" s="5" t="s">
        <v>2465</v>
      </c>
      <c r="I330" s="5"/>
      <c r="J330" s="5"/>
      <c r="K330" s="5" t="s">
        <v>3105</v>
      </c>
      <c r="L330" s="5" t="s">
        <v>276</v>
      </c>
      <c r="M330" s="5" t="s">
        <v>851</v>
      </c>
    </row>
    <row r="331" spans="1:13" ht="50.1" customHeight="1" x14ac:dyDescent="0.2">
      <c r="A331" s="5" t="s">
        <v>2471</v>
      </c>
      <c r="B331" s="5" t="s">
        <v>457</v>
      </c>
      <c r="C331" s="5" t="s">
        <v>2473</v>
      </c>
      <c r="D331" s="5" t="s">
        <v>3429</v>
      </c>
      <c r="E331" s="8">
        <v>1</v>
      </c>
      <c r="F331" s="5" t="s">
        <v>132</v>
      </c>
      <c r="G331" s="5" t="s">
        <v>668</v>
      </c>
      <c r="H331" s="5" t="s">
        <v>2472</v>
      </c>
      <c r="I331" s="5"/>
      <c r="J331" s="5"/>
      <c r="K331" s="5" t="s">
        <v>3105</v>
      </c>
      <c r="L331" s="5" t="s">
        <v>276</v>
      </c>
      <c r="M331" s="5" t="s">
        <v>851</v>
      </c>
    </row>
    <row r="332" spans="1:13" ht="50.1" customHeight="1" x14ac:dyDescent="0.2">
      <c r="A332" s="5" t="s">
        <v>2476</v>
      </c>
      <c r="B332" s="5" t="s">
        <v>465</v>
      </c>
      <c r="C332" s="5" t="s">
        <v>2478</v>
      </c>
      <c r="D332" s="5" t="s">
        <v>3430</v>
      </c>
      <c r="E332" s="8">
        <v>1</v>
      </c>
      <c r="F332" s="5" t="s">
        <v>132</v>
      </c>
      <c r="G332" s="5" t="s">
        <v>668</v>
      </c>
      <c r="H332" s="5" t="s">
        <v>2477</v>
      </c>
      <c r="I332" s="5"/>
      <c r="J332" s="5"/>
      <c r="K332" s="5" t="s">
        <v>3105</v>
      </c>
      <c r="L332" s="5" t="s">
        <v>276</v>
      </c>
      <c r="M332" s="5" t="s">
        <v>851</v>
      </c>
    </row>
    <row r="333" spans="1:13" ht="50.1" customHeight="1" x14ac:dyDescent="0.2">
      <c r="A333" s="5" t="s">
        <v>2481</v>
      </c>
      <c r="B333" s="5" t="s">
        <v>2482</v>
      </c>
      <c r="C333" s="5" t="s">
        <v>2484</v>
      </c>
      <c r="D333" s="5" t="s">
        <v>3431</v>
      </c>
      <c r="E333" s="8">
        <v>1</v>
      </c>
      <c r="F333" s="5" t="s">
        <v>132</v>
      </c>
      <c r="G333" s="5" t="s">
        <v>668</v>
      </c>
      <c r="H333" s="5" t="s">
        <v>2483</v>
      </c>
      <c r="I333" s="5"/>
      <c r="J333" s="5"/>
      <c r="K333" s="5" t="s">
        <v>3105</v>
      </c>
      <c r="L333" s="5" t="s">
        <v>276</v>
      </c>
      <c r="M333" s="5" t="s">
        <v>851</v>
      </c>
    </row>
    <row r="334" spans="1:13" ht="50.1" customHeight="1" x14ac:dyDescent="0.2">
      <c r="A334" s="5" t="s">
        <v>2489</v>
      </c>
      <c r="B334" s="5" t="s">
        <v>2490</v>
      </c>
      <c r="C334" s="5" t="s">
        <v>2492</v>
      </c>
      <c r="D334" s="5" t="s">
        <v>3432</v>
      </c>
      <c r="E334" s="8">
        <v>1</v>
      </c>
      <c r="F334" s="5" t="s">
        <v>132</v>
      </c>
      <c r="G334" s="5" t="s">
        <v>668</v>
      </c>
      <c r="H334" s="5" t="s">
        <v>2491</v>
      </c>
      <c r="I334" s="5"/>
      <c r="J334" s="5"/>
      <c r="K334" s="5" t="s">
        <v>3105</v>
      </c>
      <c r="L334" s="5" t="s">
        <v>276</v>
      </c>
      <c r="M334" s="5" t="s">
        <v>851</v>
      </c>
    </row>
    <row r="335" spans="1:13" ht="50.1" customHeight="1" x14ac:dyDescent="0.2">
      <c r="A335" s="5" t="s">
        <v>2497</v>
      </c>
      <c r="B335" s="5" t="s">
        <v>2498</v>
      </c>
      <c r="C335" s="5" t="s">
        <v>2500</v>
      </c>
      <c r="D335" s="5" t="s">
        <v>3433</v>
      </c>
      <c r="E335" s="8">
        <v>1</v>
      </c>
      <c r="F335" s="5" t="s">
        <v>132</v>
      </c>
      <c r="G335" s="5" t="s">
        <v>668</v>
      </c>
      <c r="H335" s="5" t="s">
        <v>2499</v>
      </c>
      <c r="I335" s="5"/>
      <c r="J335" s="5"/>
      <c r="K335" s="5" t="s">
        <v>3105</v>
      </c>
      <c r="L335" s="5" t="s">
        <v>276</v>
      </c>
      <c r="M335" s="5" t="s">
        <v>851</v>
      </c>
    </row>
    <row r="336" spans="1:13" ht="50.1" customHeight="1" x14ac:dyDescent="0.2">
      <c r="A336" s="5" t="s">
        <v>2503</v>
      </c>
      <c r="B336" s="5" t="s">
        <v>356</v>
      </c>
      <c r="C336" s="5" t="s">
        <v>2505</v>
      </c>
      <c r="D336" s="5" t="s">
        <v>3434</v>
      </c>
      <c r="E336" s="8">
        <v>1</v>
      </c>
      <c r="F336" s="5" t="s">
        <v>132</v>
      </c>
      <c r="G336" s="5" t="s">
        <v>668</v>
      </c>
      <c r="H336" s="5" t="s">
        <v>2504</v>
      </c>
      <c r="I336" s="5"/>
      <c r="J336" s="5"/>
      <c r="K336" s="5" t="s">
        <v>3105</v>
      </c>
      <c r="L336" s="5" t="s">
        <v>276</v>
      </c>
      <c r="M336" s="5" t="s">
        <v>851</v>
      </c>
    </row>
    <row r="337" spans="1:13" ht="50.1" customHeight="1" x14ac:dyDescent="0.2">
      <c r="A337" s="5" t="s">
        <v>2508</v>
      </c>
      <c r="B337" s="5" t="s">
        <v>368</v>
      </c>
      <c r="C337" s="5" t="s">
        <v>2510</v>
      </c>
      <c r="D337" s="5" t="s">
        <v>3435</v>
      </c>
      <c r="E337" s="8">
        <v>1</v>
      </c>
      <c r="F337" s="5" t="s">
        <v>132</v>
      </c>
      <c r="G337" s="5" t="s">
        <v>668</v>
      </c>
      <c r="H337" s="5" t="s">
        <v>2509</v>
      </c>
      <c r="I337" s="5"/>
      <c r="J337" s="5"/>
      <c r="K337" s="5" t="s">
        <v>3105</v>
      </c>
      <c r="L337" s="5" t="s">
        <v>276</v>
      </c>
      <c r="M337" s="5" t="s">
        <v>851</v>
      </c>
    </row>
    <row r="338" spans="1:13" ht="50.1" customHeight="1" x14ac:dyDescent="0.2">
      <c r="A338" s="5" t="s">
        <v>2513</v>
      </c>
      <c r="B338" s="5" t="s">
        <v>376</v>
      </c>
      <c r="C338" s="5" t="s">
        <v>2515</v>
      </c>
      <c r="D338" s="5" t="s">
        <v>3436</v>
      </c>
      <c r="E338" s="8">
        <v>1</v>
      </c>
      <c r="F338" s="5" t="s">
        <v>132</v>
      </c>
      <c r="G338" s="5" t="s">
        <v>668</v>
      </c>
      <c r="H338" s="5" t="s">
        <v>2514</v>
      </c>
      <c r="I338" s="5"/>
      <c r="J338" s="5"/>
      <c r="K338" s="5" t="s">
        <v>3105</v>
      </c>
      <c r="L338" s="5" t="s">
        <v>276</v>
      </c>
      <c r="M338" s="5" t="s">
        <v>851</v>
      </c>
    </row>
    <row r="339" spans="1:13" ht="50.1" customHeight="1" x14ac:dyDescent="0.2">
      <c r="A339" s="5" t="s">
        <v>2518</v>
      </c>
      <c r="B339" s="5" t="s">
        <v>500</v>
      </c>
      <c r="C339" s="5" t="s">
        <v>2520</v>
      </c>
      <c r="D339" s="5" t="s">
        <v>3437</v>
      </c>
      <c r="E339" s="8">
        <v>1</v>
      </c>
      <c r="F339" s="5" t="s">
        <v>132</v>
      </c>
      <c r="G339" s="5" t="s">
        <v>668</v>
      </c>
      <c r="H339" s="5" t="s">
        <v>2519</v>
      </c>
      <c r="I339" s="5"/>
      <c r="J339" s="5"/>
      <c r="K339" s="5" t="s">
        <v>3105</v>
      </c>
      <c r="L339" s="5" t="s">
        <v>276</v>
      </c>
      <c r="M339" s="5" t="s">
        <v>851</v>
      </c>
    </row>
    <row r="340" spans="1:13" ht="50.1" customHeight="1" x14ac:dyDescent="0.2">
      <c r="A340" s="5" t="s">
        <v>2523</v>
      </c>
      <c r="B340" s="5" t="s">
        <v>449</v>
      </c>
      <c r="C340" s="5" t="s">
        <v>2525</v>
      </c>
      <c r="D340" s="5" t="s">
        <v>3438</v>
      </c>
      <c r="E340" s="8">
        <v>1</v>
      </c>
      <c r="F340" s="5" t="s">
        <v>132</v>
      </c>
      <c r="G340" s="5" t="s">
        <v>668</v>
      </c>
      <c r="H340" s="5" t="s">
        <v>2524</v>
      </c>
      <c r="I340" s="5"/>
      <c r="J340" s="5"/>
      <c r="K340" s="5" t="s">
        <v>3105</v>
      </c>
      <c r="L340" s="5" t="s">
        <v>276</v>
      </c>
      <c r="M340" s="5" t="s">
        <v>851</v>
      </c>
    </row>
    <row r="341" spans="1:13" ht="50.1" customHeight="1" x14ac:dyDescent="0.2">
      <c r="A341" s="5" t="s">
        <v>2528</v>
      </c>
      <c r="B341" s="5" t="s">
        <v>2529</v>
      </c>
      <c r="C341" s="5" t="s">
        <v>2531</v>
      </c>
      <c r="D341" s="5" t="s">
        <v>3439</v>
      </c>
      <c r="E341" s="8">
        <v>1</v>
      </c>
      <c r="F341" s="5" t="s">
        <v>132</v>
      </c>
      <c r="G341" s="5" t="s">
        <v>668</v>
      </c>
      <c r="H341" s="5" t="s">
        <v>2530</v>
      </c>
      <c r="I341" s="5"/>
      <c r="J341" s="5"/>
      <c r="K341" s="5" t="s">
        <v>3105</v>
      </c>
      <c r="L341" s="5" t="s">
        <v>276</v>
      </c>
      <c r="M341" s="5" t="s">
        <v>851</v>
      </c>
    </row>
    <row r="342" spans="1:13" ht="72" customHeight="1" x14ac:dyDescent="0.2">
      <c r="A342" s="5" t="s">
        <v>2536</v>
      </c>
      <c r="B342" s="5" t="s">
        <v>1440</v>
      </c>
      <c r="C342" s="5" t="s">
        <v>2538</v>
      </c>
      <c r="D342" s="5" t="s">
        <v>3440</v>
      </c>
      <c r="E342" s="8">
        <v>1</v>
      </c>
      <c r="F342" s="5" t="s">
        <v>132</v>
      </c>
      <c r="G342" s="5" t="s">
        <v>668</v>
      </c>
      <c r="H342" s="5" t="s">
        <v>2537</v>
      </c>
      <c r="I342" s="5"/>
      <c r="J342" s="5"/>
      <c r="K342" s="5" t="s">
        <v>3105</v>
      </c>
      <c r="L342" s="5" t="s">
        <v>276</v>
      </c>
      <c r="M342" s="5" t="s">
        <v>851</v>
      </c>
    </row>
    <row r="343" spans="1:13" ht="50.1" customHeight="1" x14ac:dyDescent="0.2">
      <c r="A343" s="5" t="s">
        <v>2541</v>
      </c>
      <c r="B343" s="5" t="s">
        <v>2542</v>
      </c>
      <c r="C343" s="5" t="s">
        <v>2544</v>
      </c>
      <c r="D343" s="5" t="s">
        <v>3441</v>
      </c>
      <c r="E343" s="8">
        <v>1</v>
      </c>
      <c r="F343" s="5" t="s">
        <v>132</v>
      </c>
      <c r="G343" s="5" t="s">
        <v>668</v>
      </c>
      <c r="H343" s="5" t="s">
        <v>2543</v>
      </c>
      <c r="I343" s="5"/>
      <c r="J343" s="5"/>
      <c r="K343" s="5" t="s">
        <v>3105</v>
      </c>
      <c r="L343" s="5" t="s">
        <v>276</v>
      </c>
      <c r="M343" s="5" t="s">
        <v>851</v>
      </c>
    </row>
    <row r="344" spans="1:13" ht="50.1" customHeight="1" x14ac:dyDescent="0.2">
      <c r="A344" s="5" t="s">
        <v>2549</v>
      </c>
      <c r="B344" s="5" t="s">
        <v>2550</v>
      </c>
      <c r="C344" s="5" t="s">
        <v>2552</v>
      </c>
      <c r="D344" s="5" t="s">
        <v>3442</v>
      </c>
      <c r="E344" s="8">
        <v>1</v>
      </c>
      <c r="F344" s="5" t="s">
        <v>132</v>
      </c>
      <c r="G344" s="5" t="s">
        <v>668</v>
      </c>
      <c r="H344" s="5" t="s">
        <v>2551</v>
      </c>
      <c r="I344" s="5"/>
      <c r="J344" s="5"/>
      <c r="K344" s="5" t="s">
        <v>3105</v>
      </c>
      <c r="L344" s="5" t="s">
        <v>276</v>
      </c>
      <c r="M344" s="5" t="s">
        <v>851</v>
      </c>
    </row>
    <row r="345" spans="1:13" ht="50.1" customHeight="1" x14ac:dyDescent="0.2">
      <c r="A345" s="5" t="s">
        <v>2557</v>
      </c>
      <c r="B345" s="5" t="s">
        <v>2558</v>
      </c>
      <c r="C345" s="5" t="s">
        <v>2560</v>
      </c>
      <c r="D345" s="5" t="s">
        <v>3443</v>
      </c>
      <c r="E345" s="8">
        <v>1</v>
      </c>
      <c r="F345" s="5" t="s">
        <v>132</v>
      </c>
      <c r="G345" s="5" t="s">
        <v>668</v>
      </c>
      <c r="H345" s="5" t="s">
        <v>2559</v>
      </c>
      <c r="I345" s="5"/>
      <c r="J345" s="5"/>
      <c r="K345" s="5" t="s">
        <v>3105</v>
      </c>
      <c r="L345" s="5" t="s">
        <v>276</v>
      </c>
      <c r="M345" s="5" t="s">
        <v>851</v>
      </c>
    </row>
    <row r="346" spans="1:13" ht="57" customHeight="1" x14ac:dyDescent="0.2">
      <c r="A346" s="5" t="s">
        <v>2565</v>
      </c>
      <c r="B346" s="5" t="s">
        <v>2566</v>
      </c>
      <c r="C346" s="5" t="s">
        <v>2568</v>
      </c>
      <c r="D346" s="5" t="s">
        <v>3444</v>
      </c>
      <c r="E346" s="8">
        <v>1</v>
      </c>
      <c r="F346" s="5" t="s">
        <v>132</v>
      </c>
      <c r="G346" s="5" t="s">
        <v>668</v>
      </c>
      <c r="H346" s="5" t="s">
        <v>2567</v>
      </c>
      <c r="I346" s="5"/>
      <c r="J346" s="5"/>
      <c r="K346" s="5" t="s">
        <v>3105</v>
      </c>
      <c r="L346" s="5" t="s">
        <v>276</v>
      </c>
      <c r="M346" s="5" t="s">
        <v>851</v>
      </c>
    </row>
    <row r="347" spans="1:13" ht="50.1" customHeight="1" x14ac:dyDescent="0.2">
      <c r="A347" s="5" t="s">
        <v>2573</v>
      </c>
      <c r="B347" s="5" t="s">
        <v>2574</v>
      </c>
      <c r="C347" s="5" t="s">
        <v>2576</v>
      </c>
      <c r="D347" s="5" t="s">
        <v>3445</v>
      </c>
      <c r="E347" s="8">
        <v>1</v>
      </c>
      <c r="F347" s="5" t="s">
        <v>132</v>
      </c>
      <c r="G347" s="5" t="s">
        <v>668</v>
      </c>
      <c r="H347" s="5" t="s">
        <v>2575</v>
      </c>
      <c r="I347" s="5"/>
      <c r="J347" s="5"/>
      <c r="K347" s="5" t="s">
        <v>3105</v>
      </c>
      <c r="L347" s="5" t="s">
        <v>276</v>
      </c>
      <c r="M347" s="5" t="s">
        <v>851</v>
      </c>
    </row>
    <row r="348" spans="1:13" ht="57" customHeight="1" x14ac:dyDescent="0.2">
      <c r="A348" s="5" t="s">
        <v>2581</v>
      </c>
      <c r="B348" s="5" t="s">
        <v>2582</v>
      </c>
      <c r="C348" s="5" t="s">
        <v>2584</v>
      </c>
      <c r="D348" s="5" t="s">
        <v>3446</v>
      </c>
      <c r="E348" s="8">
        <v>1</v>
      </c>
      <c r="F348" s="5" t="s">
        <v>132</v>
      </c>
      <c r="G348" s="5" t="s">
        <v>668</v>
      </c>
      <c r="H348" s="5" t="s">
        <v>2583</v>
      </c>
      <c r="I348" s="5"/>
      <c r="J348" s="5"/>
      <c r="K348" s="5" t="s">
        <v>3105</v>
      </c>
      <c r="L348" s="5" t="s">
        <v>276</v>
      </c>
      <c r="M348" s="5" t="s">
        <v>851</v>
      </c>
    </row>
    <row r="349" spans="1:13" ht="50.1" customHeight="1" x14ac:dyDescent="0.2">
      <c r="A349" s="5" t="s">
        <v>2589</v>
      </c>
      <c r="B349" s="5" t="s">
        <v>2590</v>
      </c>
      <c r="C349" s="5" t="s">
        <v>2592</v>
      </c>
      <c r="D349" s="5" t="s">
        <v>3447</v>
      </c>
      <c r="E349" s="8">
        <v>1</v>
      </c>
      <c r="F349" s="5" t="s">
        <v>132</v>
      </c>
      <c r="G349" s="5" t="s">
        <v>668</v>
      </c>
      <c r="H349" s="5" t="s">
        <v>2591</v>
      </c>
      <c r="I349" s="5"/>
      <c r="J349" s="5"/>
      <c r="K349" s="5" t="s">
        <v>3105</v>
      </c>
      <c r="L349" s="5" t="s">
        <v>276</v>
      </c>
      <c r="M349" s="5" t="s">
        <v>851</v>
      </c>
    </row>
    <row r="350" spans="1:13" ht="50.1" customHeight="1" x14ac:dyDescent="0.2">
      <c r="A350" s="5" t="s">
        <v>2595</v>
      </c>
      <c r="B350" s="5" t="s">
        <v>356</v>
      </c>
      <c r="C350" s="5" t="s">
        <v>2597</v>
      </c>
      <c r="D350" s="5" t="s">
        <v>3448</v>
      </c>
      <c r="E350" s="8">
        <v>1</v>
      </c>
      <c r="F350" s="5" t="s">
        <v>132</v>
      </c>
      <c r="G350" s="5" t="s">
        <v>668</v>
      </c>
      <c r="H350" s="5" t="s">
        <v>2596</v>
      </c>
      <c r="I350" s="5"/>
      <c r="J350" s="5"/>
      <c r="K350" s="5" t="s">
        <v>3105</v>
      </c>
      <c r="L350" s="5" t="s">
        <v>276</v>
      </c>
      <c r="M350" s="5" t="s">
        <v>851</v>
      </c>
    </row>
    <row r="351" spans="1:13" ht="50.1" customHeight="1" x14ac:dyDescent="0.2">
      <c r="A351" s="5" t="s">
        <v>2600</v>
      </c>
      <c r="B351" s="5" t="s">
        <v>368</v>
      </c>
      <c r="C351" s="5" t="s">
        <v>2602</v>
      </c>
      <c r="D351" s="5" t="s">
        <v>3449</v>
      </c>
      <c r="E351" s="8">
        <v>1</v>
      </c>
      <c r="F351" s="5" t="s">
        <v>132</v>
      </c>
      <c r="G351" s="5" t="s">
        <v>668</v>
      </c>
      <c r="H351" s="5" t="s">
        <v>2601</v>
      </c>
      <c r="I351" s="5"/>
      <c r="J351" s="5"/>
      <c r="K351" s="5" t="s">
        <v>3105</v>
      </c>
      <c r="L351" s="5" t="s">
        <v>276</v>
      </c>
      <c r="M351" s="5" t="s">
        <v>851</v>
      </c>
    </row>
    <row r="352" spans="1:13" ht="50.1" customHeight="1" x14ac:dyDescent="0.2">
      <c r="A352" s="5" t="s">
        <v>2605</v>
      </c>
      <c r="B352" s="5" t="s">
        <v>376</v>
      </c>
      <c r="C352" s="5" t="s">
        <v>2607</v>
      </c>
      <c r="D352" s="5" t="s">
        <v>3450</v>
      </c>
      <c r="E352" s="8">
        <v>1</v>
      </c>
      <c r="F352" s="5" t="s">
        <v>132</v>
      </c>
      <c r="G352" s="5" t="s">
        <v>668</v>
      </c>
      <c r="H352" s="5" t="s">
        <v>2606</v>
      </c>
      <c r="I352" s="5"/>
      <c r="J352" s="5"/>
      <c r="K352" s="5" t="s">
        <v>3105</v>
      </c>
      <c r="L352" s="5" t="s">
        <v>276</v>
      </c>
      <c r="M352" s="5" t="s">
        <v>851</v>
      </c>
    </row>
    <row r="353" spans="1:13" ht="50.1" customHeight="1" x14ac:dyDescent="0.2">
      <c r="A353" s="5" t="s">
        <v>2610</v>
      </c>
      <c r="B353" s="5" t="s">
        <v>500</v>
      </c>
      <c r="C353" s="5" t="s">
        <v>2612</v>
      </c>
      <c r="D353" s="5" t="s">
        <v>3451</v>
      </c>
      <c r="E353" s="8">
        <v>1</v>
      </c>
      <c r="F353" s="5" t="s">
        <v>132</v>
      </c>
      <c r="G353" s="5" t="s">
        <v>668</v>
      </c>
      <c r="H353" s="5" t="s">
        <v>2611</v>
      </c>
      <c r="I353" s="5"/>
      <c r="J353" s="5"/>
      <c r="K353" s="5" t="s">
        <v>3105</v>
      </c>
      <c r="L353" s="5" t="s">
        <v>276</v>
      </c>
      <c r="M353" s="5" t="s">
        <v>851</v>
      </c>
    </row>
    <row r="354" spans="1:13" ht="50.1" customHeight="1" x14ac:dyDescent="0.2">
      <c r="A354" s="5" t="s">
        <v>2615</v>
      </c>
      <c r="B354" s="5" t="s">
        <v>2616</v>
      </c>
      <c r="C354" s="5" t="s">
        <v>2618</v>
      </c>
      <c r="D354" s="5" t="s">
        <v>3452</v>
      </c>
      <c r="E354" s="8">
        <v>1</v>
      </c>
      <c r="F354" s="5" t="s">
        <v>132</v>
      </c>
      <c r="G354" s="5" t="s">
        <v>668</v>
      </c>
      <c r="H354" s="5" t="s">
        <v>2617</v>
      </c>
      <c r="I354" s="5"/>
      <c r="J354" s="5"/>
      <c r="K354" s="5" t="s">
        <v>3105</v>
      </c>
      <c r="L354" s="5" t="s">
        <v>276</v>
      </c>
      <c r="M354" s="5" t="s">
        <v>851</v>
      </c>
    </row>
    <row r="355" spans="1:13" ht="50.1" customHeight="1" x14ac:dyDescent="0.2">
      <c r="A355" s="5" t="s">
        <v>2623</v>
      </c>
      <c r="B355" s="5" t="s">
        <v>2624</v>
      </c>
      <c r="C355" s="5" t="s">
        <v>2626</v>
      </c>
      <c r="D355" s="5" t="s">
        <v>3453</v>
      </c>
      <c r="E355" s="8">
        <v>1</v>
      </c>
      <c r="F355" s="5" t="s">
        <v>132</v>
      </c>
      <c r="G355" s="5" t="s">
        <v>668</v>
      </c>
      <c r="H355" s="5" t="s">
        <v>2625</v>
      </c>
      <c r="I355" s="5"/>
      <c r="J355" s="5"/>
      <c r="K355" s="5" t="s">
        <v>3105</v>
      </c>
      <c r="L355" s="5" t="s">
        <v>276</v>
      </c>
      <c r="M355" s="5" t="s">
        <v>851</v>
      </c>
    </row>
    <row r="356" spans="1:13" ht="50.1" customHeight="1" x14ac:dyDescent="0.2">
      <c r="A356" s="5" t="s">
        <v>2631</v>
      </c>
      <c r="B356" s="5" t="s">
        <v>2632</v>
      </c>
      <c r="C356" s="5" t="s">
        <v>2634</v>
      </c>
      <c r="D356" s="5" t="s">
        <v>3454</v>
      </c>
      <c r="E356" s="8">
        <v>1</v>
      </c>
      <c r="F356" s="5" t="s">
        <v>132</v>
      </c>
      <c r="G356" s="5" t="s">
        <v>668</v>
      </c>
      <c r="H356" s="5" t="s">
        <v>2633</v>
      </c>
      <c r="I356" s="5"/>
      <c r="J356" s="5"/>
      <c r="K356" s="5" t="s">
        <v>3105</v>
      </c>
      <c r="L356" s="5" t="s">
        <v>276</v>
      </c>
      <c r="M356" s="5" t="s">
        <v>851</v>
      </c>
    </row>
    <row r="357" spans="1:13" ht="50.1" customHeight="1" x14ac:dyDescent="0.2">
      <c r="A357" s="5" t="s">
        <v>2638</v>
      </c>
      <c r="B357" s="5" t="s">
        <v>2639</v>
      </c>
      <c r="C357" s="5" t="s">
        <v>2641</v>
      </c>
      <c r="D357" s="5" t="s">
        <v>3455</v>
      </c>
      <c r="E357" s="8">
        <v>1</v>
      </c>
      <c r="F357" s="5" t="s">
        <v>132</v>
      </c>
      <c r="G357" s="5" t="s">
        <v>668</v>
      </c>
      <c r="H357" s="5" t="s">
        <v>2640</v>
      </c>
      <c r="I357" s="5"/>
      <c r="J357" s="5"/>
      <c r="K357" s="5" t="s">
        <v>3105</v>
      </c>
      <c r="L357" s="5" t="s">
        <v>276</v>
      </c>
      <c r="M357" s="5" t="s">
        <v>851</v>
      </c>
    </row>
    <row r="358" spans="1:13" ht="50.1" customHeight="1" x14ac:dyDescent="0.2">
      <c r="A358" s="5" t="s">
        <v>2643</v>
      </c>
      <c r="B358" s="5" t="s">
        <v>356</v>
      </c>
      <c r="C358" s="5" t="s">
        <v>2645</v>
      </c>
      <c r="D358" s="5" t="s">
        <v>3456</v>
      </c>
      <c r="E358" s="8">
        <v>1</v>
      </c>
      <c r="F358" s="5" t="s">
        <v>132</v>
      </c>
      <c r="G358" s="5" t="s">
        <v>668</v>
      </c>
      <c r="H358" s="5" t="s">
        <v>2644</v>
      </c>
      <c r="I358" s="5"/>
      <c r="J358" s="5"/>
      <c r="K358" s="5" t="s">
        <v>3105</v>
      </c>
      <c r="L358" s="5" t="s">
        <v>276</v>
      </c>
      <c r="M358" s="5" t="s">
        <v>851</v>
      </c>
    </row>
    <row r="359" spans="1:13" ht="50.1" customHeight="1" x14ac:dyDescent="0.2">
      <c r="A359" s="5" t="s">
        <v>2648</v>
      </c>
      <c r="B359" s="5" t="s">
        <v>368</v>
      </c>
      <c r="C359" s="5" t="s">
        <v>2650</v>
      </c>
      <c r="D359" s="5" t="s">
        <v>3457</v>
      </c>
      <c r="E359" s="8">
        <v>1</v>
      </c>
      <c r="F359" s="5" t="s">
        <v>132</v>
      </c>
      <c r="G359" s="5" t="s">
        <v>668</v>
      </c>
      <c r="H359" s="5" t="s">
        <v>2649</v>
      </c>
      <c r="I359" s="5"/>
      <c r="J359" s="5"/>
      <c r="K359" s="5" t="s">
        <v>3105</v>
      </c>
      <c r="L359" s="5" t="s">
        <v>276</v>
      </c>
      <c r="M359" s="5" t="s">
        <v>851</v>
      </c>
    </row>
    <row r="360" spans="1:13" ht="50.1" customHeight="1" x14ac:dyDescent="0.2">
      <c r="A360" s="5" t="s">
        <v>2653</v>
      </c>
      <c r="B360" s="5" t="s">
        <v>376</v>
      </c>
      <c r="C360" s="5" t="s">
        <v>2655</v>
      </c>
      <c r="D360" s="5" t="s">
        <v>3458</v>
      </c>
      <c r="E360" s="8">
        <v>1</v>
      </c>
      <c r="F360" s="5" t="s">
        <v>132</v>
      </c>
      <c r="G360" s="5" t="s">
        <v>668</v>
      </c>
      <c r="H360" s="5" t="s">
        <v>2654</v>
      </c>
      <c r="I360" s="5"/>
      <c r="J360" s="5"/>
      <c r="K360" s="5" t="s">
        <v>3105</v>
      </c>
      <c r="L360" s="5" t="s">
        <v>276</v>
      </c>
      <c r="M360" s="5" t="s">
        <v>851</v>
      </c>
    </row>
    <row r="361" spans="1:13" ht="50.1" customHeight="1" x14ac:dyDescent="0.2">
      <c r="A361" s="5" t="s">
        <v>2658</v>
      </c>
      <c r="B361" s="5" t="s">
        <v>500</v>
      </c>
      <c r="C361" s="5" t="s">
        <v>2660</v>
      </c>
      <c r="D361" s="5" t="s">
        <v>3459</v>
      </c>
      <c r="E361" s="8">
        <v>1</v>
      </c>
      <c r="F361" s="5" t="s">
        <v>132</v>
      </c>
      <c r="G361" s="5" t="s">
        <v>668</v>
      </c>
      <c r="H361" s="5" t="s">
        <v>2659</v>
      </c>
      <c r="I361" s="5"/>
      <c r="J361" s="5"/>
      <c r="K361" s="5" t="s">
        <v>3105</v>
      </c>
      <c r="L361" s="5" t="s">
        <v>276</v>
      </c>
      <c r="M361" s="5" t="s">
        <v>851</v>
      </c>
    </row>
    <row r="362" spans="1:13" ht="50.1" customHeight="1" x14ac:dyDescent="0.2">
      <c r="A362" s="5" t="s">
        <v>2663</v>
      </c>
      <c r="B362" s="5" t="s">
        <v>2664</v>
      </c>
      <c r="C362" s="5" t="s">
        <v>2666</v>
      </c>
      <c r="D362" s="5" t="s">
        <v>3460</v>
      </c>
      <c r="E362" s="8">
        <v>1</v>
      </c>
      <c r="F362" s="5" t="s">
        <v>132</v>
      </c>
      <c r="G362" s="5" t="s">
        <v>668</v>
      </c>
      <c r="H362" s="5" t="s">
        <v>2665</v>
      </c>
      <c r="I362" s="5"/>
      <c r="J362" s="5"/>
      <c r="K362" s="5" t="s">
        <v>3105</v>
      </c>
      <c r="L362" s="5" t="s">
        <v>276</v>
      </c>
      <c r="M362" s="5" t="s">
        <v>851</v>
      </c>
    </row>
    <row r="363" spans="1:13" ht="50.1" customHeight="1" x14ac:dyDescent="0.2">
      <c r="A363" s="5" t="s">
        <v>2671</v>
      </c>
      <c r="B363" s="5" t="s">
        <v>2672</v>
      </c>
      <c r="C363" s="5" t="s">
        <v>2674</v>
      </c>
      <c r="D363" s="5" t="s">
        <v>3461</v>
      </c>
      <c r="E363" s="8">
        <v>1</v>
      </c>
      <c r="F363" s="5" t="s">
        <v>132</v>
      </c>
      <c r="G363" s="5" t="s">
        <v>668</v>
      </c>
      <c r="H363" s="5" t="s">
        <v>2673</v>
      </c>
      <c r="I363" s="5"/>
      <c r="J363" s="5"/>
      <c r="K363" s="5" t="s">
        <v>3105</v>
      </c>
      <c r="L363" s="5" t="s">
        <v>276</v>
      </c>
      <c r="M363" s="5" t="s">
        <v>851</v>
      </c>
    </row>
    <row r="364" spans="1:13" ht="50.1" customHeight="1" x14ac:dyDescent="0.2">
      <c r="A364" s="5" t="s">
        <v>2679</v>
      </c>
      <c r="B364" s="5" t="s">
        <v>2680</v>
      </c>
      <c r="C364" s="5" t="s">
        <v>2682</v>
      </c>
      <c r="D364" s="5" t="s">
        <v>3462</v>
      </c>
      <c r="E364" s="8">
        <v>1</v>
      </c>
      <c r="F364" s="5" t="s">
        <v>132</v>
      </c>
      <c r="G364" s="5" t="s">
        <v>668</v>
      </c>
      <c r="H364" s="5" t="s">
        <v>2681</v>
      </c>
      <c r="I364" s="5"/>
      <c r="J364" s="5"/>
      <c r="K364" s="5" t="s">
        <v>3105</v>
      </c>
      <c r="L364" s="5" t="s">
        <v>276</v>
      </c>
      <c r="M364" s="5" t="s">
        <v>851</v>
      </c>
    </row>
    <row r="365" spans="1:13" ht="50.1" customHeight="1" x14ac:dyDescent="0.2">
      <c r="A365" s="5" t="s">
        <v>2687</v>
      </c>
      <c r="B365" s="5" t="s">
        <v>2688</v>
      </c>
      <c r="C365" s="5" t="s">
        <v>2690</v>
      </c>
      <c r="D365" s="5" t="s">
        <v>3463</v>
      </c>
      <c r="E365" s="8">
        <v>1</v>
      </c>
      <c r="F365" s="5" t="s">
        <v>132</v>
      </c>
      <c r="G365" s="5" t="s">
        <v>668</v>
      </c>
      <c r="H365" s="5" t="s">
        <v>2689</v>
      </c>
      <c r="I365" s="5"/>
      <c r="J365" s="5"/>
      <c r="K365" s="5" t="s">
        <v>3105</v>
      </c>
      <c r="L365" s="5" t="s">
        <v>276</v>
      </c>
      <c r="M365" s="5" t="s">
        <v>851</v>
      </c>
    </row>
    <row r="366" spans="1:13" ht="57" customHeight="1" x14ac:dyDescent="0.2">
      <c r="A366" s="5" t="s">
        <v>2695</v>
      </c>
      <c r="B366" s="5" t="s">
        <v>2696</v>
      </c>
      <c r="C366" s="5" t="s">
        <v>2698</v>
      </c>
      <c r="D366" s="5" t="s">
        <v>3464</v>
      </c>
      <c r="E366" s="8">
        <v>1</v>
      </c>
      <c r="F366" s="5" t="s">
        <v>132</v>
      </c>
      <c r="G366" s="5" t="s">
        <v>668</v>
      </c>
      <c r="H366" s="5" t="s">
        <v>2697</v>
      </c>
      <c r="I366" s="5"/>
      <c r="J366" s="5"/>
      <c r="K366" s="5" t="s">
        <v>3105</v>
      </c>
      <c r="L366" s="5" t="s">
        <v>276</v>
      </c>
      <c r="M366" s="5" t="s">
        <v>851</v>
      </c>
    </row>
    <row r="367" spans="1:13" ht="50.1" customHeight="1" x14ac:dyDescent="0.2">
      <c r="A367" s="5" t="s">
        <v>2702</v>
      </c>
      <c r="B367" s="5" t="s">
        <v>2703</v>
      </c>
      <c r="C367" s="5" t="s">
        <v>2705</v>
      </c>
      <c r="D367" s="5" t="s">
        <v>3465</v>
      </c>
      <c r="E367" s="8">
        <v>1</v>
      </c>
      <c r="F367" s="5" t="s">
        <v>132</v>
      </c>
      <c r="G367" s="5" t="s">
        <v>668</v>
      </c>
      <c r="H367" s="5" t="s">
        <v>2704</v>
      </c>
      <c r="I367" s="5"/>
      <c r="J367" s="5"/>
      <c r="K367" s="5" t="s">
        <v>3105</v>
      </c>
      <c r="L367" s="5" t="s">
        <v>276</v>
      </c>
      <c r="M367" s="5" t="s">
        <v>851</v>
      </c>
    </row>
    <row r="368" spans="1:13" ht="50.1" customHeight="1" x14ac:dyDescent="0.2">
      <c r="A368" s="5" t="s">
        <v>2710</v>
      </c>
      <c r="B368" s="5" t="s">
        <v>1558</v>
      </c>
      <c r="C368" s="5" t="s">
        <v>2712</v>
      </c>
      <c r="D368" s="5" t="s">
        <v>3466</v>
      </c>
      <c r="E368" s="8">
        <v>1</v>
      </c>
      <c r="F368" s="5" t="s">
        <v>132</v>
      </c>
      <c r="G368" s="5" t="s">
        <v>668</v>
      </c>
      <c r="H368" s="5" t="s">
        <v>2711</v>
      </c>
      <c r="I368" s="5"/>
      <c r="J368" s="5"/>
      <c r="K368" s="5" t="s">
        <v>3105</v>
      </c>
      <c r="L368" s="5" t="s">
        <v>276</v>
      </c>
      <c r="M368" s="5" t="s">
        <v>851</v>
      </c>
    </row>
    <row r="369" spans="1:13" ht="50.1" customHeight="1" x14ac:dyDescent="0.2">
      <c r="A369" s="5" t="s">
        <v>2715</v>
      </c>
      <c r="B369" s="5" t="s">
        <v>2716</v>
      </c>
      <c r="C369" s="5" t="s">
        <v>2718</v>
      </c>
      <c r="D369" s="5" t="s">
        <v>3467</v>
      </c>
      <c r="E369" s="8">
        <v>1</v>
      </c>
      <c r="F369" s="5" t="s">
        <v>132</v>
      </c>
      <c r="G369" s="5" t="s">
        <v>668</v>
      </c>
      <c r="H369" s="5" t="s">
        <v>2717</v>
      </c>
      <c r="I369" s="5"/>
      <c r="J369" s="5"/>
      <c r="K369" s="5" t="s">
        <v>3105</v>
      </c>
      <c r="L369" s="5" t="s">
        <v>276</v>
      </c>
      <c r="M369" s="5" t="s">
        <v>851</v>
      </c>
    </row>
    <row r="370" spans="1:13" ht="50.1" customHeight="1" x14ac:dyDescent="0.2">
      <c r="A370" s="5" t="s">
        <v>2720</v>
      </c>
      <c r="B370" s="5" t="s">
        <v>356</v>
      </c>
      <c r="C370" s="5" t="s">
        <v>2722</v>
      </c>
      <c r="D370" s="5" t="s">
        <v>3468</v>
      </c>
      <c r="E370" s="8">
        <v>1</v>
      </c>
      <c r="F370" s="5" t="s">
        <v>132</v>
      </c>
      <c r="G370" s="5" t="s">
        <v>668</v>
      </c>
      <c r="H370" s="5" t="s">
        <v>2721</v>
      </c>
      <c r="I370" s="5"/>
      <c r="J370" s="5"/>
      <c r="K370" s="5" t="s">
        <v>3105</v>
      </c>
      <c r="L370" s="5" t="s">
        <v>276</v>
      </c>
      <c r="M370" s="5" t="s">
        <v>851</v>
      </c>
    </row>
    <row r="371" spans="1:13" ht="50.1" customHeight="1" x14ac:dyDescent="0.2">
      <c r="A371" s="5" t="s">
        <v>2725</v>
      </c>
      <c r="B371" s="5" t="s">
        <v>368</v>
      </c>
      <c r="C371" s="5" t="s">
        <v>2727</v>
      </c>
      <c r="D371" s="5" t="s">
        <v>3469</v>
      </c>
      <c r="E371" s="8">
        <v>1</v>
      </c>
      <c r="F371" s="5" t="s">
        <v>132</v>
      </c>
      <c r="G371" s="5" t="s">
        <v>668</v>
      </c>
      <c r="H371" s="5" t="s">
        <v>2726</v>
      </c>
      <c r="I371" s="5"/>
      <c r="J371" s="5"/>
      <c r="K371" s="5" t="s">
        <v>3105</v>
      </c>
      <c r="L371" s="5" t="s">
        <v>276</v>
      </c>
      <c r="M371" s="5" t="s">
        <v>851</v>
      </c>
    </row>
    <row r="372" spans="1:13" ht="50.1" customHeight="1" x14ac:dyDescent="0.2">
      <c r="A372" s="5" t="s">
        <v>2730</v>
      </c>
      <c r="B372" s="5" t="s">
        <v>376</v>
      </c>
      <c r="C372" s="5" t="s">
        <v>2732</v>
      </c>
      <c r="D372" s="5" t="s">
        <v>3470</v>
      </c>
      <c r="E372" s="8">
        <v>1</v>
      </c>
      <c r="F372" s="5" t="s">
        <v>132</v>
      </c>
      <c r="G372" s="5" t="s">
        <v>668</v>
      </c>
      <c r="H372" s="5" t="s">
        <v>2731</v>
      </c>
      <c r="I372" s="5"/>
      <c r="J372" s="5"/>
      <c r="K372" s="5" t="s">
        <v>3105</v>
      </c>
      <c r="L372" s="5" t="s">
        <v>276</v>
      </c>
      <c r="M372" s="5" t="s">
        <v>851</v>
      </c>
    </row>
    <row r="373" spans="1:13" ht="50.1" customHeight="1" x14ac:dyDescent="0.2">
      <c r="A373" s="5" t="s">
        <v>2735</v>
      </c>
      <c r="B373" s="5" t="s">
        <v>500</v>
      </c>
      <c r="C373" s="5" t="s">
        <v>2737</v>
      </c>
      <c r="D373" s="5" t="s">
        <v>3471</v>
      </c>
      <c r="E373" s="8">
        <v>1</v>
      </c>
      <c r="F373" s="5" t="s">
        <v>132</v>
      </c>
      <c r="G373" s="5" t="s">
        <v>668</v>
      </c>
      <c r="H373" s="5" t="s">
        <v>2736</v>
      </c>
      <c r="I373" s="5"/>
      <c r="J373" s="5"/>
      <c r="K373" s="5" t="s">
        <v>3105</v>
      </c>
      <c r="L373" s="5" t="s">
        <v>276</v>
      </c>
      <c r="M373" s="5" t="s">
        <v>851</v>
      </c>
    </row>
    <row r="374" spans="1:13" ht="50.1" customHeight="1" x14ac:dyDescent="0.2">
      <c r="A374" s="5" t="s">
        <v>2740</v>
      </c>
      <c r="B374" s="5" t="s">
        <v>2741</v>
      </c>
      <c r="C374" s="5" t="s">
        <v>2743</v>
      </c>
      <c r="D374" s="5" t="s">
        <v>3472</v>
      </c>
      <c r="E374" s="8">
        <v>1</v>
      </c>
      <c r="F374" s="5" t="s">
        <v>132</v>
      </c>
      <c r="G374" s="5" t="s">
        <v>668</v>
      </c>
      <c r="H374" s="5" t="s">
        <v>2742</v>
      </c>
      <c r="I374" s="5"/>
      <c r="J374" s="5"/>
      <c r="K374" s="5" t="s">
        <v>3105</v>
      </c>
      <c r="L374" s="5" t="s">
        <v>276</v>
      </c>
      <c r="M374" s="5" t="s">
        <v>851</v>
      </c>
    </row>
    <row r="375" spans="1:13" ht="50.1" customHeight="1" x14ac:dyDescent="0.2">
      <c r="A375" s="5" t="s">
        <v>2748</v>
      </c>
      <c r="B375" s="5" t="s">
        <v>2749</v>
      </c>
      <c r="C375" s="5" t="s">
        <v>2751</v>
      </c>
      <c r="D375" s="5" t="s">
        <v>3473</v>
      </c>
      <c r="E375" s="8">
        <v>1</v>
      </c>
      <c r="F375" s="5" t="s">
        <v>132</v>
      </c>
      <c r="G375" s="5" t="s">
        <v>668</v>
      </c>
      <c r="H375" s="5" t="s">
        <v>2750</v>
      </c>
      <c r="I375" s="5"/>
      <c r="J375" s="5"/>
      <c r="K375" s="5" t="s">
        <v>3105</v>
      </c>
      <c r="L375" s="5" t="s">
        <v>276</v>
      </c>
      <c r="M375" s="5" t="s">
        <v>851</v>
      </c>
    </row>
    <row r="376" spans="1:13" ht="57" customHeight="1" x14ac:dyDescent="0.2">
      <c r="A376" s="5" t="s">
        <v>2756</v>
      </c>
      <c r="B376" s="5" t="s">
        <v>2757</v>
      </c>
      <c r="C376" s="5" t="s">
        <v>2759</v>
      </c>
      <c r="D376" s="5" t="s">
        <v>3474</v>
      </c>
      <c r="E376" s="8">
        <v>1</v>
      </c>
      <c r="F376" s="5" t="s">
        <v>132</v>
      </c>
      <c r="G376" s="5" t="s">
        <v>668</v>
      </c>
      <c r="H376" s="5" t="s">
        <v>2758</v>
      </c>
      <c r="I376" s="5"/>
      <c r="J376" s="5"/>
      <c r="K376" s="5" t="s">
        <v>3105</v>
      </c>
      <c r="L376" s="5" t="s">
        <v>276</v>
      </c>
      <c r="M376" s="5" t="s">
        <v>851</v>
      </c>
    </row>
    <row r="377" spans="1:13" ht="57" customHeight="1" x14ac:dyDescent="0.2">
      <c r="A377" s="5" t="s">
        <v>2764</v>
      </c>
      <c r="B377" s="5" t="s">
        <v>2765</v>
      </c>
      <c r="C377" s="5" t="s">
        <v>2767</v>
      </c>
      <c r="D377" s="5" t="s">
        <v>3475</v>
      </c>
      <c r="E377" s="8">
        <v>1</v>
      </c>
      <c r="F377" s="5" t="s">
        <v>132</v>
      </c>
      <c r="G377" s="5" t="s">
        <v>668</v>
      </c>
      <c r="H377" s="5" t="s">
        <v>2766</v>
      </c>
      <c r="I377" s="5"/>
      <c r="J377" s="5"/>
      <c r="K377" s="5" t="s">
        <v>3105</v>
      </c>
      <c r="L377" s="5" t="s">
        <v>276</v>
      </c>
      <c r="M377" s="5" t="s">
        <v>851</v>
      </c>
    </row>
    <row r="378" spans="1:13" ht="57" customHeight="1" x14ac:dyDescent="0.2">
      <c r="A378" s="5" t="s">
        <v>2772</v>
      </c>
      <c r="B378" s="5" t="s">
        <v>2773</v>
      </c>
      <c r="C378" s="5" t="s">
        <v>2775</v>
      </c>
      <c r="D378" s="5" t="s">
        <v>3476</v>
      </c>
      <c r="E378" s="8">
        <v>1</v>
      </c>
      <c r="F378" s="5" t="s">
        <v>132</v>
      </c>
      <c r="G378" s="5" t="s">
        <v>668</v>
      </c>
      <c r="H378" s="5" t="s">
        <v>2774</v>
      </c>
      <c r="I378" s="5"/>
      <c r="J378" s="5"/>
      <c r="K378" s="5" t="s">
        <v>3105</v>
      </c>
      <c r="L378" s="5" t="s">
        <v>276</v>
      </c>
      <c r="M378" s="5" t="s">
        <v>851</v>
      </c>
    </row>
    <row r="379" spans="1:13" ht="57" customHeight="1" x14ac:dyDescent="0.2">
      <c r="A379" s="5" t="s">
        <v>2780</v>
      </c>
      <c r="B379" s="5" t="s">
        <v>2781</v>
      </c>
      <c r="C379" s="5" t="s">
        <v>2783</v>
      </c>
      <c r="D379" s="5" t="s">
        <v>3477</v>
      </c>
      <c r="E379" s="8">
        <v>1</v>
      </c>
      <c r="F379" s="5" t="s">
        <v>132</v>
      </c>
      <c r="G379" s="5" t="s">
        <v>668</v>
      </c>
      <c r="H379" s="5" t="s">
        <v>2782</v>
      </c>
      <c r="I379" s="5"/>
      <c r="J379" s="5"/>
      <c r="K379" s="5" t="s">
        <v>3105</v>
      </c>
      <c r="L379" s="5" t="s">
        <v>276</v>
      </c>
      <c r="M379" s="5" t="s">
        <v>851</v>
      </c>
    </row>
    <row r="380" spans="1:13" ht="50.1" customHeight="1" x14ac:dyDescent="0.2">
      <c r="A380" s="5" t="s">
        <v>2787</v>
      </c>
      <c r="B380" s="5" t="s">
        <v>2788</v>
      </c>
      <c r="C380" s="5" t="s">
        <v>2790</v>
      </c>
      <c r="D380" s="5" t="s">
        <v>3478</v>
      </c>
      <c r="E380" s="8">
        <v>1</v>
      </c>
      <c r="F380" s="5" t="s">
        <v>132</v>
      </c>
      <c r="G380" s="5" t="s">
        <v>668</v>
      </c>
      <c r="H380" s="5" t="s">
        <v>2789</v>
      </c>
      <c r="I380" s="5"/>
      <c r="J380" s="5"/>
      <c r="K380" s="5" t="s">
        <v>3105</v>
      </c>
      <c r="L380" s="5" t="s">
        <v>276</v>
      </c>
      <c r="M380" s="5" t="s">
        <v>851</v>
      </c>
    </row>
    <row r="381" spans="1:13" ht="50.1" customHeight="1" x14ac:dyDescent="0.2">
      <c r="A381" s="5" t="s">
        <v>2793</v>
      </c>
      <c r="B381" s="5" t="s">
        <v>356</v>
      </c>
      <c r="C381" s="5" t="s">
        <v>2795</v>
      </c>
      <c r="D381" s="5" t="s">
        <v>3479</v>
      </c>
      <c r="E381" s="8">
        <v>1</v>
      </c>
      <c r="F381" s="5" t="s">
        <v>132</v>
      </c>
      <c r="G381" s="5" t="s">
        <v>668</v>
      </c>
      <c r="H381" s="5" t="s">
        <v>2794</v>
      </c>
      <c r="I381" s="5"/>
      <c r="J381" s="5"/>
      <c r="K381" s="5" t="s">
        <v>3105</v>
      </c>
      <c r="L381" s="5" t="s">
        <v>276</v>
      </c>
      <c r="M381" s="5" t="s">
        <v>851</v>
      </c>
    </row>
    <row r="382" spans="1:13" ht="50.1" customHeight="1" x14ac:dyDescent="0.2">
      <c r="A382" s="5" t="s">
        <v>2798</v>
      </c>
      <c r="B382" s="5" t="s">
        <v>368</v>
      </c>
      <c r="C382" s="5" t="s">
        <v>2800</v>
      </c>
      <c r="D382" s="5" t="s">
        <v>3480</v>
      </c>
      <c r="E382" s="8">
        <v>1</v>
      </c>
      <c r="F382" s="5" t="s">
        <v>132</v>
      </c>
      <c r="G382" s="5" t="s">
        <v>668</v>
      </c>
      <c r="H382" s="5" t="s">
        <v>2799</v>
      </c>
      <c r="I382" s="5"/>
      <c r="J382" s="5"/>
      <c r="K382" s="5" t="s">
        <v>3105</v>
      </c>
      <c r="L382" s="5" t="s">
        <v>276</v>
      </c>
      <c r="M382" s="5" t="s">
        <v>851</v>
      </c>
    </row>
    <row r="383" spans="1:13" ht="50.1" customHeight="1" x14ac:dyDescent="0.2">
      <c r="A383" s="5" t="s">
        <v>2803</v>
      </c>
      <c r="B383" s="5" t="s">
        <v>376</v>
      </c>
      <c r="C383" s="5" t="s">
        <v>2805</v>
      </c>
      <c r="D383" s="5" t="s">
        <v>3481</v>
      </c>
      <c r="E383" s="8">
        <v>1</v>
      </c>
      <c r="F383" s="5" t="s">
        <v>132</v>
      </c>
      <c r="G383" s="5" t="s">
        <v>668</v>
      </c>
      <c r="H383" s="5" t="s">
        <v>2804</v>
      </c>
      <c r="I383" s="5"/>
      <c r="J383" s="5"/>
      <c r="K383" s="5" t="s">
        <v>3105</v>
      </c>
      <c r="L383" s="5" t="s">
        <v>276</v>
      </c>
      <c r="M383" s="5" t="s">
        <v>851</v>
      </c>
    </row>
    <row r="384" spans="1:13" ht="50.1" customHeight="1" x14ac:dyDescent="0.2">
      <c r="A384" s="5" t="s">
        <v>2808</v>
      </c>
      <c r="B384" s="5" t="s">
        <v>500</v>
      </c>
      <c r="C384" s="5" t="s">
        <v>2810</v>
      </c>
      <c r="D384" s="5" t="s">
        <v>3482</v>
      </c>
      <c r="E384" s="8">
        <v>1</v>
      </c>
      <c r="F384" s="5" t="s">
        <v>132</v>
      </c>
      <c r="G384" s="5" t="s">
        <v>668</v>
      </c>
      <c r="H384" s="5" t="s">
        <v>2809</v>
      </c>
      <c r="I384" s="5"/>
      <c r="J384" s="5"/>
      <c r="K384" s="5" t="s">
        <v>3105</v>
      </c>
      <c r="L384" s="5" t="s">
        <v>276</v>
      </c>
      <c r="M384" s="5" t="s">
        <v>851</v>
      </c>
    </row>
    <row r="385" spans="1:13" ht="50.1" customHeight="1" x14ac:dyDescent="0.2">
      <c r="A385" s="5" t="s">
        <v>2813</v>
      </c>
      <c r="B385" s="5" t="s">
        <v>420</v>
      </c>
      <c r="C385" s="5" t="s">
        <v>2815</v>
      </c>
      <c r="D385" s="5" t="s">
        <v>3483</v>
      </c>
      <c r="E385" s="8">
        <v>1</v>
      </c>
      <c r="F385" s="5" t="s">
        <v>132</v>
      </c>
      <c r="G385" s="5" t="s">
        <v>668</v>
      </c>
      <c r="H385" s="5" t="s">
        <v>2814</v>
      </c>
      <c r="I385" s="5"/>
      <c r="J385" s="5"/>
      <c r="K385" s="5" t="s">
        <v>3105</v>
      </c>
      <c r="L385" s="5" t="s">
        <v>276</v>
      </c>
      <c r="M385" s="5" t="s">
        <v>851</v>
      </c>
    </row>
    <row r="386" spans="1:13" ht="50.1" customHeight="1" x14ac:dyDescent="0.2">
      <c r="A386" s="5" t="s">
        <v>2818</v>
      </c>
      <c r="B386" s="5" t="s">
        <v>420</v>
      </c>
      <c r="C386" s="5" t="s">
        <v>2820</v>
      </c>
      <c r="D386" s="5" t="s">
        <v>3484</v>
      </c>
      <c r="E386" s="8">
        <v>1</v>
      </c>
      <c r="F386" s="5" t="s">
        <v>132</v>
      </c>
      <c r="G386" s="5" t="s">
        <v>668</v>
      </c>
      <c r="H386" s="5" t="s">
        <v>2819</v>
      </c>
      <c r="I386" s="5"/>
      <c r="J386" s="5"/>
      <c r="K386" s="5" t="s">
        <v>3105</v>
      </c>
      <c r="L386" s="5" t="s">
        <v>276</v>
      </c>
      <c r="M386" s="5" t="s">
        <v>851</v>
      </c>
    </row>
    <row r="387" spans="1:13" ht="57" customHeight="1" x14ac:dyDescent="0.2">
      <c r="A387" s="5" t="s">
        <v>2823</v>
      </c>
      <c r="B387" s="5" t="s">
        <v>2824</v>
      </c>
      <c r="C387" s="5" t="s">
        <v>2826</v>
      </c>
      <c r="D387" s="5" t="s">
        <v>3485</v>
      </c>
      <c r="E387" s="8">
        <v>1</v>
      </c>
      <c r="F387" s="5" t="s">
        <v>132</v>
      </c>
      <c r="G387" s="5" t="s">
        <v>668</v>
      </c>
      <c r="H387" s="5" t="s">
        <v>2825</v>
      </c>
      <c r="I387" s="5"/>
      <c r="J387" s="5"/>
      <c r="K387" s="5" t="s">
        <v>3105</v>
      </c>
      <c r="L387" s="5" t="s">
        <v>276</v>
      </c>
      <c r="M387" s="5" t="s">
        <v>851</v>
      </c>
    </row>
    <row r="388" spans="1:13" ht="57" customHeight="1" x14ac:dyDescent="0.2">
      <c r="A388" s="5" t="s">
        <v>2830</v>
      </c>
      <c r="B388" s="5" t="s">
        <v>2831</v>
      </c>
      <c r="C388" s="5" t="s">
        <v>2833</v>
      </c>
      <c r="D388" s="5" t="s">
        <v>3486</v>
      </c>
      <c r="E388" s="8">
        <v>1</v>
      </c>
      <c r="F388" s="5" t="s">
        <v>132</v>
      </c>
      <c r="G388" s="5" t="s">
        <v>668</v>
      </c>
      <c r="H388" s="5" t="s">
        <v>2832</v>
      </c>
      <c r="I388" s="5"/>
      <c r="J388" s="5"/>
      <c r="K388" s="5" t="s">
        <v>3105</v>
      </c>
      <c r="L388" s="5" t="s">
        <v>276</v>
      </c>
      <c r="M388" s="5" t="s">
        <v>851</v>
      </c>
    </row>
    <row r="389" spans="1:13" ht="72" customHeight="1" x14ac:dyDescent="0.2">
      <c r="A389" s="5" t="s">
        <v>2837</v>
      </c>
      <c r="B389" s="5" t="s">
        <v>2838</v>
      </c>
      <c r="C389" s="5" t="s">
        <v>2840</v>
      </c>
      <c r="D389" s="5" t="s">
        <v>3487</v>
      </c>
      <c r="E389" s="8">
        <v>1</v>
      </c>
      <c r="F389" s="5" t="s">
        <v>132</v>
      </c>
      <c r="G389" s="5" t="s">
        <v>668</v>
      </c>
      <c r="H389" s="5" t="s">
        <v>2839</v>
      </c>
      <c r="I389" s="5"/>
      <c r="J389" s="5"/>
      <c r="K389" s="5" t="s">
        <v>3105</v>
      </c>
      <c r="L389" s="5" t="s">
        <v>276</v>
      </c>
      <c r="M389" s="5" t="s">
        <v>851</v>
      </c>
    </row>
    <row r="390" spans="1:13" ht="57" customHeight="1" x14ac:dyDescent="0.2">
      <c r="A390" s="5" t="s">
        <v>2845</v>
      </c>
      <c r="B390" s="5" t="s">
        <v>2846</v>
      </c>
      <c r="C390" s="5" t="s">
        <v>2848</v>
      </c>
      <c r="D390" s="5" t="s">
        <v>3488</v>
      </c>
      <c r="E390" s="8">
        <v>1</v>
      </c>
      <c r="F390" s="5" t="s">
        <v>132</v>
      </c>
      <c r="G390" s="5" t="s">
        <v>668</v>
      </c>
      <c r="H390" s="5" t="s">
        <v>2847</v>
      </c>
      <c r="I390" s="5"/>
      <c r="J390" s="5"/>
      <c r="K390" s="5" t="s">
        <v>3105</v>
      </c>
      <c r="L390" s="5" t="s">
        <v>276</v>
      </c>
      <c r="M390" s="5" t="s">
        <v>851</v>
      </c>
    </row>
    <row r="391" spans="1:13" ht="57" customHeight="1" x14ac:dyDescent="0.2">
      <c r="A391" s="5" t="s">
        <v>2853</v>
      </c>
      <c r="B391" s="5" t="s">
        <v>2854</v>
      </c>
      <c r="C391" s="5" t="s">
        <v>2856</v>
      </c>
      <c r="D391" s="5" t="s">
        <v>3489</v>
      </c>
      <c r="E391" s="8">
        <v>1</v>
      </c>
      <c r="F391" s="5" t="s">
        <v>132</v>
      </c>
      <c r="G391" s="5" t="s">
        <v>668</v>
      </c>
      <c r="H391" s="5" t="s">
        <v>2855</v>
      </c>
      <c r="I391" s="5"/>
      <c r="J391" s="5"/>
      <c r="K391" s="5" t="s">
        <v>3105</v>
      </c>
      <c r="L391" s="5" t="s">
        <v>276</v>
      </c>
      <c r="M391" s="5" t="s">
        <v>851</v>
      </c>
    </row>
    <row r="392" spans="1:13" ht="57" customHeight="1" x14ac:dyDescent="0.2">
      <c r="A392" s="5" t="s">
        <v>2861</v>
      </c>
      <c r="B392" s="5" t="s">
        <v>2862</v>
      </c>
      <c r="C392" s="5" t="s">
        <v>2864</v>
      </c>
      <c r="D392" s="5" t="s">
        <v>3490</v>
      </c>
      <c r="E392" s="8">
        <v>1</v>
      </c>
      <c r="F392" s="5" t="s">
        <v>132</v>
      </c>
      <c r="G392" s="5" t="s">
        <v>668</v>
      </c>
      <c r="H392" s="5" t="s">
        <v>2863</v>
      </c>
      <c r="I392" s="5"/>
      <c r="J392" s="5"/>
      <c r="K392" s="5" t="s">
        <v>3105</v>
      </c>
      <c r="L392" s="5" t="s">
        <v>276</v>
      </c>
      <c r="M392" s="5" t="s">
        <v>851</v>
      </c>
    </row>
    <row r="393" spans="1:13" ht="57" customHeight="1" x14ac:dyDescent="0.2">
      <c r="A393" s="5" t="s">
        <v>2869</v>
      </c>
      <c r="B393" s="5" t="s">
        <v>2870</v>
      </c>
      <c r="C393" s="5" t="s">
        <v>2872</v>
      </c>
      <c r="D393" s="5" t="s">
        <v>3491</v>
      </c>
      <c r="E393" s="8">
        <v>1</v>
      </c>
      <c r="F393" s="5" t="s">
        <v>132</v>
      </c>
      <c r="G393" s="5" t="s">
        <v>668</v>
      </c>
      <c r="H393" s="5" t="s">
        <v>2871</v>
      </c>
      <c r="I393" s="5"/>
      <c r="J393" s="5"/>
      <c r="K393" s="5" t="s">
        <v>3105</v>
      </c>
      <c r="L393" s="5" t="s">
        <v>276</v>
      </c>
      <c r="M393" s="5" t="s">
        <v>851</v>
      </c>
    </row>
    <row r="394" spans="1:13" ht="57" customHeight="1" x14ac:dyDescent="0.2">
      <c r="A394" s="5" t="s">
        <v>2877</v>
      </c>
      <c r="B394" s="5" t="s">
        <v>2878</v>
      </c>
      <c r="C394" s="5" t="s">
        <v>2880</v>
      </c>
      <c r="D394" s="5" t="s">
        <v>3492</v>
      </c>
      <c r="E394" s="8">
        <v>1</v>
      </c>
      <c r="F394" s="5" t="s">
        <v>132</v>
      </c>
      <c r="G394" s="5" t="s">
        <v>668</v>
      </c>
      <c r="H394" s="5" t="s">
        <v>2879</v>
      </c>
      <c r="I394" s="5"/>
      <c r="J394" s="5"/>
      <c r="K394" s="5" t="s">
        <v>3105</v>
      </c>
      <c r="L394" s="5" t="s">
        <v>276</v>
      </c>
      <c r="M394" s="5" t="s">
        <v>851</v>
      </c>
    </row>
    <row r="395" spans="1:13" ht="87" customHeight="1" x14ac:dyDescent="0.2">
      <c r="A395" s="5" t="s">
        <v>2885</v>
      </c>
      <c r="B395" s="5" t="s">
        <v>2886</v>
      </c>
      <c r="C395" s="5" t="s">
        <v>2888</v>
      </c>
      <c r="D395" s="5" t="s">
        <v>3493</v>
      </c>
      <c r="E395" s="8">
        <v>1</v>
      </c>
      <c r="F395" s="5" t="s">
        <v>132</v>
      </c>
      <c r="G395" s="5" t="s">
        <v>668</v>
      </c>
      <c r="H395" s="5" t="s">
        <v>2887</v>
      </c>
      <c r="I395" s="5"/>
      <c r="J395" s="5"/>
      <c r="K395" s="5" t="s">
        <v>3105</v>
      </c>
      <c r="L395" s="5" t="s">
        <v>276</v>
      </c>
      <c r="M395" s="5" t="s">
        <v>851</v>
      </c>
    </row>
    <row r="396" spans="1:13" ht="50.1" customHeight="1" x14ac:dyDescent="0.2">
      <c r="A396" s="5" t="s">
        <v>2893</v>
      </c>
      <c r="B396" s="5" t="s">
        <v>2894</v>
      </c>
      <c r="C396" s="5" t="s">
        <v>2896</v>
      </c>
      <c r="D396" s="5" t="s">
        <v>3494</v>
      </c>
      <c r="E396" s="8">
        <v>1</v>
      </c>
      <c r="F396" s="5" t="s">
        <v>132</v>
      </c>
      <c r="G396" s="5" t="s">
        <v>668</v>
      </c>
      <c r="H396" s="5" t="s">
        <v>2895</v>
      </c>
      <c r="I396" s="5"/>
      <c r="J396" s="5"/>
      <c r="K396" s="5" t="s">
        <v>3105</v>
      </c>
      <c r="L396" s="5" t="s">
        <v>276</v>
      </c>
      <c r="M396" s="5" t="s">
        <v>851</v>
      </c>
    </row>
    <row r="397" spans="1:13" ht="50.1" customHeight="1" x14ac:dyDescent="0.2">
      <c r="A397" s="5" t="s">
        <v>2899</v>
      </c>
      <c r="B397" s="5" t="s">
        <v>356</v>
      </c>
      <c r="C397" s="5" t="s">
        <v>2901</v>
      </c>
      <c r="D397" s="5" t="s">
        <v>3495</v>
      </c>
      <c r="E397" s="8">
        <v>1</v>
      </c>
      <c r="F397" s="5" t="s">
        <v>132</v>
      </c>
      <c r="G397" s="5" t="s">
        <v>668</v>
      </c>
      <c r="H397" s="5" t="s">
        <v>2900</v>
      </c>
      <c r="I397" s="5"/>
      <c r="J397" s="5"/>
      <c r="K397" s="5" t="s">
        <v>3105</v>
      </c>
      <c r="L397" s="5" t="s">
        <v>276</v>
      </c>
      <c r="M397" s="5" t="s">
        <v>851</v>
      </c>
    </row>
    <row r="398" spans="1:13" ht="50.1" customHeight="1" x14ac:dyDescent="0.2">
      <c r="A398" s="5" t="s">
        <v>2904</v>
      </c>
      <c r="B398" s="5" t="s">
        <v>368</v>
      </c>
      <c r="C398" s="5" t="s">
        <v>2906</v>
      </c>
      <c r="D398" s="5" t="s">
        <v>3496</v>
      </c>
      <c r="E398" s="8">
        <v>1</v>
      </c>
      <c r="F398" s="5" t="s">
        <v>132</v>
      </c>
      <c r="G398" s="5" t="s">
        <v>668</v>
      </c>
      <c r="H398" s="5" t="s">
        <v>2905</v>
      </c>
      <c r="I398" s="5"/>
      <c r="J398" s="5"/>
      <c r="K398" s="5" t="s">
        <v>3105</v>
      </c>
      <c r="L398" s="5" t="s">
        <v>276</v>
      </c>
      <c r="M398" s="5" t="s">
        <v>851</v>
      </c>
    </row>
    <row r="399" spans="1:13" ht="50.1" customHeight="1" x14ac:dyDescent="0.2">
      <c r="A399" s="5" t="s">
        <v>2909</v>
      </c>
      <c r="B399" s="5" t="s">
        <v>376</v>
      </c>
      <c r="C399" s="5" t="s">
        <v>2911</v>
      </c>
      <c r="D399" s="5" t="s">
        <v>3497</v>
      </c>
      <c r="E399" s="8">
        <v>1</v>
      </c>
      <c r="F399" s="5" t="s">
        <v>132</v>
      </c>
      <c r="G399" s="5" t="s">
        <v>668</v>
      </c>
      <c r="H399" s="5" t="s">
        <v>2910</v>
      </c>
      <c r="I399" s="5"/>
      <c r="J399" s="5"/>
      <c r="K399" s="5" t="s">
        <v>3105</v>
      </c>
      <c r="L399" s="5" t="s">
        <v>276</v>
      </c>
      <c r="M399" s="5" t="s">
        <v>851</v>
      </c>
    </row>
    <row r="400" spans="1:13" ht="50.1" customHeight="1" x14ac:dyDescent="0.2">
      <c r="A400" s="5" t="s">
        <v>2914</v>
      </c>
      <c r="B400" s="5" t="s">
        <v>500</v>
      </c>
      <c r="C400" s="5" t="s">
        <v>2916</v>
      </c>
      <c r="D400" s="5" t="s">
        <v>3498</v>
      </c>
      <c r="E400" s="8">
        <v>1</v>
      </c>
      <c r="F400" s="5" t="s">
        <v>132</v>
      </c>
      <c r="G400" s="5" t="s">
        <v>668</v>
      </c>
      <c r="H400" s="5" t="s">
        <v>2915</v>
      </c>
      <c r="I400" s="5"/>
      <c r="J400" s="5"/>
      <c r="K400" s="5" t="s">
        <v>3105</v>
      </c>
      <c r="L400" s="5" t="s">
        <v>276</v>
      </c>
      <c r="M400" s="5" t="s">
        <v>851</v>
      </c>
    </row>
    <row r="401" spans="1:13" ht="50.1" customHeight="1" x14ac:dyDescent="0.2">
      <c r="A401" s="5" t="s">
        <v>2919</v>
      </c>
      <c r="B401" s="5" t="s">
        <v>595</v>
      </c>
      <c r="C401" s="5" t="s">
        <v>2921</v>
      </c>
      <c r="D401" s="5" t="s">
        <v>3499</v>
      </c>
      <c r="E401" s="8">
        <v>1</v>
      </c>
      <c r="F401" s="5" t="s">
        <v>132</v>
      </c>
      <c r="G401" s="5" t="s">
        <v>668</v>
      </c>
      <c r="H401" s="5" t="s">
        <v>2920</v>
      </c>
      <c r="I401" s="5"/>
      <c r="J401" s="5"/>
      <c r="K401" s="5" t="s">
        <v>3105</v>
      </c>
      <c r="L401" s="5" t="s">
        <v>276</v>
      </c>
      <c r="M401" s="5" t="s">
        <v>851</v>
      </c>
    </row>
    <row r="402" spans="1:13" ht="50.1" customHeight="1" x14ac:dyDescent="0.2">
      <c r="A402" s="5" t="s">
        <v>2924</v>
      </c>
      <c r="B402" s="5" t="s">
        <v>2203</v>
      </c>
      <c r="C402" s="5" t="s">
        <v>2926</v>
      </c>
      <c r="D402" s="5" t="s">
        <v>3500</v>
      </c>
      <c r="E402" s="8">
        <v>1</v>
      </c>
      <c r="F402" s="5" t="s">
        <v>132</v>
      </c>
      <c r="G402" s="5" t="s">
        <v>668</v>
      </c>
      <c r="H402" s="5" t="s">
        <v>2925</v>
      </c>
      <c r="I402" s="5"/>
      <c r="J402" s="5"/>
      <c r="K402" s="5" t="s">
        <v>3105</v>
      </c>
      <c r="L402" s="5" t="s">
        <v>276</v>
      </c>
      <c r="M402" s="5" t="s">
        <v>851</v>
      </c>
    </row>
    <row r="403" spans="1:13" ht="50.1" customHeight="1" x14ac:dyDescent="0.2">
      <c r="A403" s="5" t="s">
        <v>2929</v>
      </c>
      <c r="B403" s="5" t="s">
        <v>457</v>
      </c>
      <c r="C403" s="5" t="s">
        <v>2931</v>
      </c>
      <c r="D403" s="5" t="s">
        <v>3501</v>
      </c>
      <c r="E403" s="8">
        <v>1</v>
      </c>
      <c r="F403" s="5" t="s">
        <v>132</v>
      </c>
      <c r="G403" s="5" t="s">
        <v>668</v>
      </c>
      <c r="H403" s="5" t="s">
        <v>2930</v>
      </c>
      <c r="I403" s="5"/>
      <c r="J403" s="5"/>
      <c r="K403" s="5" t="s">
        <v>3105</v>
      </c>
      <c r="L403" s="5" t="s">
        <v>276</v>
      </c>
      <c r="M403" s="5" t="s">
        <v>851</v>
      </c>
    </row>
    <row r="404" spans="1:13" ht="50.1" customHeight="1" x14ac:dyDescent="0.2">
      <c r="A404" s="5" t="s">
        <v>2934</v>
      </c>
      <c r="B404" s="5" t="s">
        <v>465</v>
      </c>
      <c r="C404" s="5" t="s">
        <v>2936</v>
      </c>
      <c r="D404" s="5" t="s">
        <v>3502</v>
      </c>
      <c r="E404" s="8">
        <v>1</v>
      </c>
      <c r="F404" s="5" t="s">
        <v>132</v>
      </c>
      <c r="G404" s="5" t="s">
        <v>668</v>
      </c>
      <c r="H404" s="5" t="s">
        <v>2935</v>
      </c>
      <c r="I404" s="5"/>
      <c r="J404" s="5"/>
      <c r="K404" s="5" t="s">
        <v>3105</v>
      </c>
      <c r="L404" s="5" t="s">
        <v>276</v>
      </c>
      <c r="M404" s="5" t="s">
        <v>851</v>
      </c>
    </row>
    <row r="405" spans="1:13" ht="57" customHeight="1" x14ac:dyDescent="0.2">
      <c r="A405" s="5" t="s">
        <v>2939</v>
      </c>
      <c r="B405" s="5" t="s">
        <v>2940</v>
      </c>
      <c r="C405" s="5" t="s">
        <v>2942</v>
      </c>
      <c r="D405" s="5" t="s">
        <v>3503</v>
      </c>
      <c r="E405" s="8">
        <v>1</v>
      </c>
      <c r="F405" s="5" t="s">
        <v>132</v>
      </c>
      <c r="G405" s="5" t="s">
        <v>668</v>
      </c>
      <c r="H405" s="5" t="s">
        <v>2941</v>
      </c>
      <c r="I405" s="5"/>
      <c r="J405" s="5"/>
      <c r="K405" s="5" t="s">
        <v>3105</v>
      </c>
      <c r="L405" s="5" t="s">
        <v>276</v>
      </c>
      <c r="M405" s="5" t="s">
        <v>851</v>
      </c>
    </row>
    <row r="406" spans="1:13" ht="72" customHeight="1" x14ac:dyDescent="0.2">
      <c r="A406" s="5" t="s">
        <v>2947</v>
      </c>
      <c r="B406" s="5" t="s">
        <v>2948</v>
      </c>
      <c r="C406" s="5" t="s">
        <v>2950</v>
      </c>
      <c r="D406" s="5" t="s">
        <v>3504</v>
      </c>
      <c r="E406" s="8">
        <v>1</v>
      </c>
      <c r="F406" s="5" t="s">
        <v>132</v>
      </c>
      <c r="G406" s="5" t="s">
        <v>668</v>
      </c>
      <c r="H406" s="5" t="s">
        <v>2949</v>
      </c>
      <c r="I406" s="5"/>
      <c r="J406" s="5"/>
      <c r="K406" s="5" t="s">
        <v>3105</v>
      </c>
      <c r="L406" s="5" t="s">
        <v>276</v>
      </c>
      <c r="M406" s="5" t="s">
        <v>851</v>
      </c>
    </row>
    <row r="407" spans="1:13" ht="72" customHeight="1" x14ac:dyDescent="0.2">
      <c r="A407" s="5" t="s">
        <v>2955</v>
      </c>
      <c r="B407" s="5" t="s">
        <v>2956</v>
      </c>
      <c r="C407" s="5" t="s">
        <v>2958</v>
      </c>
      <c r="D407" s="5" t="s">
        <v>3505</v>
      </c>
      <c r="E407" s="8">
        <v>1</v>
      </c>
      <c r="F407" s="5" t="s">
        <v>132</v>
      </c>
      <c r="G407" s="5" t="s">
        <v>668</v>
      </c>
      <c r="H407" s="5" t="s">
        <v>2957</v>
      </c>
      <c r="I407" s="5"/>
      <c r="J407" s="5"/>
      <c r="K407" s="5" t="s">
        <v>3105</v>
      </c>
      <c r="L407" s="5" t="s">
        <v>276</v>
      </c>
      <c r="M407" s="5" t="s">
        <v>851</v>
      </c>
    </row>
    <row r="408" spans="1:13" ht="57" customHeight="1" x14ac:dyDescent="0.2">
      <c r="A408" s="5" t="s">
        <v>2962</v>
      </c>
      <c r="B408" s="5" t="s">
        <v>2963</v>
      </c>
      <c r="C408" s="5" t="s">
        <v>2965</v>
      </c>
      <c r="D408" s="5" t="s">
        <v>3506</v>
      </c>
      <c r="E408" s="8">
        <v>1</v>
      </c>
      <c r="F408" s="5" t="s">
        <v>132</v>
      </c>
      <c r="G408" s="5" t="s">
        <v>668</v>
      </c>
      <c r="H408" s="5" t="s">
        <v>2964</v>
      </c>
      <c r="I408" s="5"/>
      <c r="J408" s="5"/>
      <c r="K408" s="5" t="s">
        <v>3105</v>
      </c>
      <c r="L408" s="5" t="s">
        <v>276</v>
      </c>
      <c r="M408" s="5" t="s">
        <v>851</v>
      </c>
    </row>
    <row r="409" spans="1:13" ht="50.1" customHeight="1" x14ac:dyDescent="0.2">
      <c r="A409" s="5" t="s">
        <v>2969</v>
      </c>
      <c r="B409" s="5" t="s">
        <v>1308</v>
      </c>
      <c r="C409" s="5" t="s">
        <v>2971</v>
      </c>
      <c r="D409" s="5" t="s">
        <v>3507</v>
      </c>
      <c r="E409" s="8">
        <v>1</v>
      </c>
      <c r="F409" s="5" t="s">
        <v>132</v>
      </c>
      <c r="G409" s="5" t="s">
        <v>668</v>
      </c>
      <c r="H409" s="5" t="s">
        <v>2970</v>
      </c>
      <c r="I409" s="5"/>
      <c r="J409" s="5"/>
      <c r="K409" s="5" t="s">
        <v>3105</v>
      </c>
      <c r="L409" s="5" t="s">
        <v>276</v>
      </c>
      <c r="M409" s="5" t="s">
        <v>851</v>
      </c>
    </row>
    <row r="410" spans="1:13" ht="57" customHeight="1" x14ac:dyDescent="0.2">
      <c r="A410" s="5" t="s">
        <v>2974</v>
      </c>
      <c r="B410" s="5" t="s">
        <v>2975</v>
      </c>
      <c r="C410" s="5" t="s">
        <v>2977</v>
      </c>
      <c r="D410" s="5" t="s">
        <v>3508</v>
      </c>
      <c r="E410" s="8">
        <v>1</v>
      </c>
      <c r="F410" s="5" t="s">
        <v>132</v>
      </c>
      <c r="G410" s="5" t="s">
        <v>668</v>
      </c>
      <c r="H410" s="5" t="s">
        <v>2976</v>
      </c>
      <c r="I410" s="5"/>
      <c r="J410" s="5"/>
      <c r="K410" s="5" t="s">
        <v>3105</v>
      </c>
      <c r="L410" s="5" t="s">
        <v>276</v>
      </c>
      <c r="M410" s="5" t="s">
        <v>851</v>
      </c>
    </row>
    <row r="411" spans="1:13" ht="50.1" customHeight="1" x14ac:dyDescent="0.2">
      <c r="A411" s="5" t="s">
        <v>2982</v>
      </c>
      <c r="B411" s="5" t="s">
        <v>2983</v>
      </c>
      <c r="C411" s="5" t="s">
        <v>2985</v>
      </c>
      <c r="D411" s="5" t="s">
        <v>3509</v>
      </c>
      <c r="E411" s="8">
        <v>1</v>
      </c>
      <c r="F411" s="5" t="s">
        <v>132</v>
      </c>
      <c r="G411" s="5" t="s">
        <v>668</v>
      </c>
      <c r="H411" s="5" t="s">
        <v>2984</v>
      </c>
      <c r="I411" s="5"/>
      <c r="J411" s="5"/>
      <c r="K411" s="5" t="s">
        <v>3105</v>
      </c>
      <c r="L411" s="5" t="s">
        <v>276</v>
      </c>
      <c r="M411" s="5" t="s">
        <v>851</v>
      </c>
    </row>
    <row r="412" spans="1:13" ht="50.1" customHeight="1" x14ac:dyDescent="0.2">
      <c r="A412" s="5" t="s">
        <v>2988</v>
      </c>
      <c r="B412" s="5" t="s">
        <v>356</v>
      </c>
      <c r="C412" s="5" t="s">
        <v>2990</v>
      </c>
      <c r="D412" s="5" t="s">
        <v>3510</v>
      </c>
      <c r="E412" s="8">
        <v>1</v>
      </c>
      <c r="F412" s="5" t="s">
        <v>132</v>
      </c>
      <c r="G412" s="5" t="s">
        <v>668</v>
      </c>
      <c r="H412" s="5" t="s">
        <v>2989</v>
      </c>
      <c r="I412" s="5"/>
      <c r="J412" s="5"/>
      <c r="K412" s="5" t="s">
        <v>3105</v>
      </c>
      <c r="L412" s="5" t="s">
        <v>276</v>
      </c>
      <c r="M412" s="5" t="s">
        <v>851</v>
      </c>
    </row>
    <row r="413" spans="1:13" ht="50.1" customHeight="1" x14ac:dyDescent="0.2">
      <c r="A413" s="5" t="s">
        <v>2993</v>
      </c>
      <c r="B413" s="5" t="s">
        <v>368</v>
      </c>
      <c r="C413" s="5" t="s">
        <v>2995</v>
      </c>
      <c r="D413" s="5" t="s">
        <v>3511</v>
      </c>
      <c r="E413" s="8">
        <v>1</v>
      </c>
      <c r="F413" s="5" t="s">
        <v>132</v>
      </c>
      <c r="G413" s="5" t="s">
        <v>668</v>
      </c>
      <c r="H413" s="5" t="s">
        <v>2994</v>
      </c>
      <c r="I413" s="5"/>
      <c r="J413" s="5"/>
      <c r="K413" s="5" t="s">
        <v>3105</v>
      </c>
      <c r="L413" s="5" t="s">
        <v>276</v>
      </c>
      <c r="M413" s="5" t="s">
        <v>851</v>
      </c>
    </row>
    <row r="414" spans="1:13" ht="50.1" customHeight="1" x14ac:dyDescent="0.2">
      <c r="A414" s="5" t="s">
        <v>2998</v>
      </c>
      <c r="B414" s="5" t="s">
        <v>376</v>
      </c>
      <c r="C414" s="5" t="s">
        <v>3000</v>
      </c>
      <c r="D414" s="5" t="s">
        <v>3512</v>
      </c>
      <c r="E414" s="8">
        <v>1</v>
      </c>
      <c r="F414" s="5" t="s">
        <v>132</v>
      </c>
      <c r="G414" s="5" t="s">
        <v>668</v>
      </c>
      <c r="H414" s="5" t="s">
        <v>2999</v>
      </c>
      <c r="I414" s="5"/>
      <c r="J414" s="5"/>
      <c r="K414" s="5" t="s">
        <v>3105</v>
      </c>
      <c r="L414" s="5" t="s">
        <v>276</v>
      </c>
      <c r="M414" s="5" t="s">
        <v>851</v>
      </c>
    </row>
    <row r="415" spans="1:13" ht="50.1" customHeight="1" x14ac:dyDescent="0.2">
      <c r="A415" s="5" t="s">
        <v>3003</v>
      </c>
      <c r="B415" s="5" t="s">
        <v>595</v>
      </c>
      <c r="C415" s="5" t="s">
        <v>3005</v>
      </c>
      <c r="D415" s="5" t="s">
        <v>3513</v>
      </c>
      <c r="E415" s="8">
        <v>1</v>
      </c>
      <c r="F415" s="5" t="s">
        <v>132</v>
      </c>
      <c r="G415" s="5" t="s">
        <v>668</v>
      </c>
      <c r="H415" s="5" t="s">
        <v>3004</v>
      </c>
      <c r="I415" s="5"/>
      <c r="J415" s="5"/>
      <c r="K415" s="5" t="s">
        <v>3105</v>
      </c>
      <c r="L415" s="5" t="s">
        <v>276</v>
      </c>
      <c r="M415" s="5" t="s">
        <v>851</v>
      </c>
    </row>
    <row r="416" spans="1:13" ht="50.1" customHeight="1" x14ac:dyDescent="0.2">
      <c r="A416" s="5" t="s">
        <v>3008</v>
      </c>
      <c r="B416" s="5" t="s">
        <v>420</v>
      </c>
      <c r="C416" s="5" t="s">
        <v>3010</v>
      </c>
      <c r="D416" s="5" t="s">
        <v>3514</v>
      </c>
      <c r="E416" s="8">
        <v>1</v>
      </c>
      <c r="F416" s="5" t="s">
        <v>132</v>
      </c>
      <c r="G416" s="5" t="s">
        <v>668</v>
      </c>
      <c r="H416" s="5" t="s">
        <v>3009</v>
      </c>
      <c r="I416" s="5"/>
      <c r="J416" s="5"/>
      <c r="K416" s="5" t="s">
        <v>3105</v>
      </c>
      <c r="L416" s="5" t="s">
        <v>276</v>
      </c>
      <c r="M416" s="5" t="s">
        <v>851</v>
      </c>
    </row>
    <row r="417" spans="1:13" ht="57" customHeight="1" x14ac:dyDescent="0.2">
      <c r="A417" s="5" t="s">
        <v>3013</v>
      </c>
      <c r="B417" s="5" t="s">
        <v>3014</v>
      </c>
      <c r="C417" s="5" t="s">
        <v>3016</v>
      </c>
      <c r="D417" s="5" t="s">
        <v>3515</v>
      </c>
      <c r="E417" s="8">
        <v>1</v>
      </c>
      <c r="F417" s="5" t="s">
        <v>132</v>
      </c>
      <c r="G417" s="5" t="s">
        <v>668</v>
      </c>
      <c r="H417" s="5" t="s">
        <v>3015</v>
      </c>
      <c r="I417" s="5"/>
      <c r="J417" s="5"/>
      <c r="K417" s="5" t="s">
        <v>3105</v>
      </c>
      <c r="L417" s="5" t="s">
        <v>276</v>
      </c>
      <c r="M417" s="5" t="s">
        <v>851</v>
      </c>
    </row>
    <row r="418" spans="1:13" ht="57" customHeight="1" x14ac:dyDescent="0.2">
      <c r="A418" s="5" t="s">
        <v>3021</v>
      </c>
      <c r="B418" s="5" t="s">
        <v>3022</v>
      </c>
      <c r="C418" s="5" t="s">
        <v>3024</v>
      </c>
      <c r="D418" s="5" t="s">
        <v>3516</v>
      </c>
      <c r="E418" s="8">
        <v>1</v>
      </c>
      <c r="F418" s="5" t="s">
        <v>132</v>
      </c>
      <c r="G418" s="5" t="s">
        <v>668</v>
      </c>
      <c r="H418" s="5" t="s">
        <v>3023</v>
      </c>
      <c r="I418" s="5"/>
      <c r="J418" s="5"/>
      <c r="K418" s="5" t="s">
        <v>3105</v>
      </c>
      <c r="L418" s="5" t="s">
        <v>276</v>
      </c>
      <c r="M418" s="5" t="s">
        <v>851</v>
      </c>
    </row>
    <row r="419" spans="1:13" ht="57" customHeight="1" x14ac:dyDescent="0.2">
      <c r="A419" s="5" t="s">
        <v>3029</v>
      </c>
      <c r="B419" s="5" t="s">
        <v>3030</v>
      </c>
      <c r="C419" s="5" t="s">
        <v>3032</v>
      </c>
      <c r="D419" s="5" t="s">
        <v>3517</v>
      </c>
      <c r="E419" s="8">
        <v>1</v>
      </c>
      <c r="F419" s="5" t="s">
        <v>132</v>
      </c>
      <c r="G419" s="5" t="s">
        <v>668</v>
      </c>
      <c r="H419" s="5" t="s">
        <v>3031</v>
      </c>
      <c r="I419" s="5"/>
      <c r="J419" s="5"/>
      <c r="K419" s="5" t="s">
        <v>3105</v>
      </c>
      <c r="L419" s="5" t="s">
        <v>276</v>
      </c>
      <c r="M419" s="5" t="s">
        <v>851</v>
      </c>
    </row>
    <row r="420" spans="1:13" ht="57" customHeight="1" x14ac:dyDescent="0.2">
      <c r="A420" s="5" t="s">
        <v>3037</v>
      </c>
      <c r="B420" s="5" t="s">
        <v>3038</v>
      </c>
      <c r="C420" s="5" t="s">
        <v>3040</v>
      </c>
      <c r="D420" s="5" t="s">
        <v>3518</v>
      </c>
      <c r="E420" s="8">
        <v>1</v>
      </c>
      <c r="F420" s="5" t="s">
        <v>132</v>
      </c>
      <c r="G420" s="5" t="s">
        <v>668</v>
      </c>
      <c r="H420" s="5" t="s">
        <v>3039</v>
      </c>
      <c r="I420" s="5"/>
      <c r="J420" s="5"/>
      <c r="K420" s="5" t="s">
        <v>3105</v>
      </c>
      <c r="L420" s="5" t="s">
        <v>276</v>
      </c>
      <c r="M420" s="5" t="s">
        <v>851</v>
      </c>
    </row>
    <row r="421" spans="1:13" ht="50.1" customHeight="1" x14ac:dyDescent="0.2">
      <c r="A421" s="5" t="s">
        <v>3045</v>
      </c>
      <c r="B421" s="5" t="s">
        <v>3046</v>
      </c>
      <c r="C421" s="5" t="s">
        <v>3048</v>
      </c>
      <c r="D421" s="5" t="s">
        <v>3519</v>
      </c>
      <c r="E421" s="8">
        <v>1</v>
      </c>
      <c r="F421" s="5" t="s">
        <v>132</v>
      </c>
      <c r="G421" s="5" t="s">
        <v>668</v>
      </c>
      <c r="H421" s="5" t="s">
        <v>3047</v>
      </c>
      <c r="I421" s="5"/>
      <c r="J421" s="5"/>
      <c r="K421" s="5" t="s">
        <v>3105</v>
      </c>
      <c r="L421" s="5" t="s">
        <v>276</v>
      </c>
      <c r="M421" s="5" t="s">
        <v>851</v>
      </c>
    </row>
    <row r="422" spans="1:13" ht="50.1" customHeight="1" x14ac:dyDescent="0.2">
      <c r="A422" s="5" t="s">
        <v>176</v>
      </c>
      <c r="B422" s="5" t="s">
        <v>177</v>
      </c>
      <c r="C422" s="5" t="s">
        <v>179</v>
      </c>
      <c r="D422" s="5" t="s">
        <v>3520</v>
      </c>
      <c r="E422" s="8">
        <v>1</v>
      </c>
      <c r="F422" s="5" t="s">
        <v>132</v>
      </c>
      <c r="G422" s="5" t="s">
        <v>482</v>
      </c>
      <c r="H422" s="5" t="s">
        <v>178</v>
      </c>
      <c r="I422" s="5"/>
      <c r="J422" s="5"/>
      <c r="K422" s="5" t="s">
        <v>3105</v>
      </c>
      <c r="L422" s="5" t="s">
        <v>276</v>
      </c>
      <c r="M422" s="5" t="s">
        <v>851</v>
      </c>
    </row>
    <row r="423" spans="1:13" ht="50.1" customHeight="1" x14ac:dyDescent="0.2">
      <c r="A423" s="5" t="s">
        <v>185</v>
      </c>
      <c r="B423" s="5" t="s">
        <v>186</v>
      </c>
      <c r="C423" s="5" t="s">
        <v>188</v>
      </c>
      <c r="D423" s="5" t="s">
        <v>3521</v>
      </c>
      <c r="E423" s="8">
        <v>1</v>
      </c>
      <c r="F423" s="5" t="s">
        <v>132</v>
      </c>
      <c r="G423" s="5" t="s">
        <v>482</v>
      </c>
      <c r="H423" s="5" t="s">
        <v>187</v>
      </c>
      <c r="I423" s="5"/>
      <c r="J423" s="5"/>
      <c r="K423" s="5" t="s">
        <v>3105</v>
      </c>
      <c r="L423" s="5" t="s">
        <v>276</v>
      </c>
      <c r="M423" s="5" t="s">
        <v>851</v>
      </c>
    </row>
    <row r="424" spans="1:13" ht="57" customHeight="1" x14ac:dyDescent="0.2">
      <c r="A424" s="5" t="s">
        <v>191</v>
      </c>
      <c r="B424" s="5" t="s">
        <v>192</v>
      </c>
      <c r="C424" s="5" t="s">
        <v>194</v>
      </c>
      <c r="D424" s="5" t="s">
        <v>3522</v>
      </c>
      <c r="E424" s="8">
        <v>1</v>
      </c>
      <c r="F424" s="5" t="s">
        <v>132</v>
      </c>
      <c r="G424" s="5" t="s">
        <v>482</v>
      </c>
      <c r="H424" s="5" t="s">
        <v>193</v>
      </c>
      <c r="I424" s="5"/>
      <c r="J424" s="5"/>
      <c r="K424" s="5" t="s">
        <v>3105</v>
      </c>
      <c r="L424" s="5" t="s">
        <v>276</v>
      </c>
      <c r="M424" s="5" t="s">
        <v>851</v>
      </c>
    </row>
    <row r="425" spans="1:13" ht="50.1" customHeight="1" x14ac:dyDescent="0.2">
      <c r="A425" s="5" t="s">
        <v>197</v>
      </c>
      <c r="B425" s="5" t="s">
        <v>198</v>
      </c>
      <c r="C425" s="5" t="s">
        <v>200</v>
      </c>
      <c r="D425" s="5" t="s">
        <v>3523</v>
      </c>
      <c r="E425" s="8">
        <v>1</v>
      </c>
      <c r="F425" s="5" t="s">
        <v>132</v>
      </c>
      <c r="G425" s="5" t="s">
        <v>482</v>
      </c>
      <c r="H425" s="5" t="s">
        <v>199</v>
      </c>
      <c r="I425" s="5"/>
      <c r="J425" s="5"/>
      <c r="K425" s="5" t="s">
        <v>3105</v>
      </c>
      <c r="L425" s="5" t="s">
        <v>276</v>
      </c>
      <c r="M425" s="5" t="s">
        <v>851</v>
      </c>
    </row>
    <row r="426" spans="1:13" ht="50.1" customHeight="1" x14ac:dyDescent="0.2">
      <c r="A426" s="5" t="s">
        <v>202</v>
      </c>
      <c r="B426" s="5" t="s">
        <v>203</v>
      </c>
      <c r="C426" s="5" t="s">
        <v>205</v>
      </c>
      <c r="D426" s="5" t="s">
        <v>3524</v>
      </c>
      <c r="E426" s="8">
        <v>1</v>
      </c>
      <c r="F426" s="5" t="s">
        <v>132</v>
      </c>
      <c r="G426" s="5" t="s">
        <v>482</v>
      </c>
      <c r="H426" s="5" t="s">
        <v>204</v>
      </c>
      <c r="I426" s="5"/>
      <c r="J426" s="5"/>
      <c r="K426" s="5" t="s">
        <v>3105</v>
      </c>
      <c r="L426" s="5" t="s">
        <v>276</v>
      </c>
      <c r="M426" s="5" t="s">
        <v>851</v>
      </c>
    </row>
    <row r="427" spans="1:13" ht="50.1" customHeight="1" x14ac:dyDescent="0.2">
      <c r="A427" s="5" t="s">
        <v>207</v>
      </c>
      <c r="B427" s="5" t="s">
        <v>208</v>
      </c>
      <c r="C427" s="5" t="s">
        <v>210</v>
      </c>
      <c r="D427" s="5" t="s">
        <v>3525</v>
      </c>
      <c r="E427" s="8">
        <v>1</v>
      </c>
      <c r="F427" s="5" t="s">
        <v>132</v>
      </c>
      <c r="G427" s="5" t="s">
        <v>482</v>
      </c>
      <c r="H427" s="5" t="s">
        <v>209</v>
      </c>
      <c r="I427" s="5"/>
      <c r="J427" s="5"/>
      <c r="K427" s="5" t="s">
        <v>3105</v>
      </c>
      <c r="L427" s="5" t="s">
        <v>276</v>
      </c>
      <c r="M427" s="5" t="s">
        <v>851</v>
      </c>
    </row>
    <row r="428" spans="1:13" ht="50.1" customHeight="1" x14ac:dyDescent="0.2">
      <c r="A428" s="5" t="s">
        <v>213</v>
      </c>
      <c r="B428" s="5" t="s">
        <v>214</v>
      </c>
      <c r="C428" s="5" t="s">
        <v>216</v>
      </c>
      <c r="D428" s="5" t="s">
        <v>3526</v>
      </c>
      <c r="E428" s="8">
        <v>1</v>
      </c>
      <c r="F428" s="5" t="s">
        <v>132</v>
      </c>
      <c r="G428" s="5" t="s">
        <v>482</v>
      </c>
      <c r="H428" s="5" t="s">
        <v>215</v>
      </c>
      <c r="I428" s="5"/>
      <c r="J428" s="5"/>
      <c r="K428" s="5" t="s">
        <v>3105</v>
      </c>
      <c r="L428" s="5" t="s">
        <v>276</v>
      </c>
      <c r="M428" s="5" t="s">
        <v>851</v>
      </c>
    </row>
    <row r="429" spans="1:13" ht="57" customHeight="1" x14ac:dyDescent="0.2">
      <c r="A429" s="5" t="s">
        <v>219</v>
      </c>
      <c r="B429" s="5" t="s">
        <v>220</v>
      </c>
      <c r="C429" s="5" t="s">
        <v>222</v>
      </c>
      <c r="D429" s="5" t="s">
        <v>3527</v>
      </c>
      <c r="E429" s="8">
        <v>1</v>
      </c>
      <c r="F429" s="5" t="s">
        <v>132</v>
      </c>
      <c r="G429" s="5" t="s">
        <v>482</v>
      </c>
      <c r="H429" s="5" t="s">
        <v>221</v>
      </c>
      <c r="I429" s="5"/>
      <c r="J429" s="5"/>
      <c r="K429" s="5" t="s">
        <v>3105</v>
      </c>
      <c r="L429" s="5" t="s">
        <v>276</v>
      </c>
      <c r="M429" s="5" t="s">
        <v>851</v>
      </c>
    </row>
    <row r="430" spans="1:13" ht="50.1" customHeight="1" x14ac:dyDescent="0.2">
      <c r="A430" s="5" t="s">
        <v>3053</v>
      </c>
      <c r="B430" s="5" t="s">
        <v>3054</v>
      </c>
      <c r="C430" s="5" t="s">
        <v>3056</v>
      </c>
      <c r="D430" s="5" t="s">
        <v>3528</v>
      </c>
      <c r="E430" s="8">
        <v>1</v>
      </c>
      <c r="F430" s="5" t="s">
        <v>132</v>
      </c>
      <c r="G430" s="5" t="s">
        <v>668</v>
      </c>
      <c r="H430" s="5" t="s">
        <v>3055</v>
      </c>
      <c r="I430" s="5"/>
      <c r="J430" s="5"/>
      <c r="K430" s="5" t="s">
        <v>3105</v>
      </c>
      <c r="L430" s="5" t="s">
        <v>276</v>
      </c>
      <c r="M430" s="5" t="s">
        <v>851</v>
      </c>
    </row>
    <row r="431" spans="1:13" ht="50.1" customHeight="1" x14ac:dyDescent="0.2">
      <c r="A431" s="5" t="s">
        <v>3063</v>
      </c>
      <c r="B431" s="5" t="s">
        <v>3064</v>
      </c>
      <c r="C431" s="5" t="s">
        <v>3066</v>
      </c>
      <c r="D431" s="5" t="s">
        <v>3529</v>
      </c>
      <c r="E431" s="8">
        <v>1</v>
      </c>
      <c r="F431" s="5" t="s">
        <v>132</v>
      </c>
      <c r="G431" s="5" t="s">
        <v>668</v>
      </c>
      <c r="H431" s="5" t="s">
        <v>3065</v>
      </c>
      <c r="I431" s="5"/>
      <c r="J431" s="5"/>
      <c r="K431" s="5" t="s">
        <v>3105</v>
      </c>
      <c r="L431" s="5" t="s">
        <v>276</v>
      </c>
      <c r="M431" s="5" t="s">
        <v>851</v>
      </c>
    </row>
    <row r="432" spans="1:13" ht="50.1" customHeight="1" x14ac:dyDescent="0.2">
      <c r="A432" s="5" t="s">
        <v>3068</v>
      </c>
      <c r="B432" s="5" t="s">
        <v>3069</v>
      </c>
      <c r="C432" s="5" t="s">
        <v>3071</v>
      </c>
      <c r="D432" s="5" t="s">
        <v>3530</v>
      </c>
      <c r="E432" s="8">
        <v>1</v>
      </c>
      <c r="F432" s="5" t="s">
        <v>132</v>
      </c>
      <c r="G432" s="5" t="s">
        <v>668</v>
      </c>
      <c r="H432" s="5" t="s">
        <v>3070</v>
      </c>
      <c r="I432" s="5"/>
      <c r="J432" s="5"/>
      <c r="K432" s="5" t="s">
        <v>3105</v>
      </c>
      <c r="L432" s="5" t="s">
        <v>276</v>
      </c>
      <c r="M432" s="5" t="s">
        <v>851</v>
      </c>
    </row>
    <row r="433" spans="1:13" ht="50.1" customHeight="1" x14ac:dyDescent="0.2">
      <c r="A433" s="5" t="s">
        <v>3073</v>
      </c>
      <c r="B433" s="5" t="s">
        <v>3074</v>
      </c>
      <c r="C433" s="5" t="s">
        <v>3076</v>
      </c>
      <c r="D433" s="5" t="s">
        <v>3531</v>
      </c>
      <c r="E433" s="8">
        <v>1</v>
      </c>
      <c r="F433" s="5" t="s">
        <v>132</v>
      </c>
      <c r="G433" s="5" t="s">
        <v>668</v>
      </c>
      <c r="H433" s="5" t="s">
        <v>3075</v>
      </c>
      <c r="I433" s="5"/>
      <c r="J433" s="5"/>
      <c r="K433" s="5" t="s">
        <v>3105</v>
      </c>
      <c r="L433" s="5" t="s">
        <v>276</v>
      </c>
      <c r="M433" s="5" t="s">
        <v>851</v>
      </c>
    </row>
    <row r="434" spans="1:13" ht="57" customHeight="1" x14ac:dyDescent="0.2">
      <c r="A434" s="5" t="s">
        <v>3078</v>
      </c>
      <c r="B434" s="5" t="s">
        <v>3079</v>
      </c>
      <c r="C434" s="5" t="s">
        <v>3081</v>
      </c>
      <c r="D434" s="5" t="s">
        <v>3532</v>
      </c>
      <c r="E434" s="8">
        <v>1</v>
      </c>
      <c r="F434" s="5" t="s">
        <v>132</v>
      </c>
      <c r="G434" s="5" t="s">
        <v>668</v>
      </c>
      <c r="H434" s="5" t="s">
        <v>3080</v>
      </c>
      <c r="I434" s="5"/>
      <c r="J434" s="5"/>
      <c r="K434" s="5" t="s">
        <v>3105</v>
      </c>
      <c r="L434" s="5" t="s">
        <v>276</v>
      </c>
      <c r="M434" s="5" t="s">
        <v>851</v>
      </c>
    </row>
    <row r="435" spans="1:13" ht="50.1" customHeight="1" x14ac:dyDescent="0.2">
      <c r="A435" s="5" t="s">
        <v>3533</v>
      </c>
      <c r="B435" s="5" t="s">
        <v>3534</v>
      </c>
      <c r="C435" s="5" t="s">
        <v>3535</v>
      </c>
      <c r="D435" s="5" t="s">
        <v>3536</v>
      </c>
      <c r="E435" s="8">
        <v>1</v>
      </c>
      <c r="F435" s="5" t="s">
        <v>132</v>
      </c>
      <c r="G435" s="5" t="s">
        <v>1097</v>
      </c>
      <c r="H435" s="5" t="s">
        <v>3537</v>
      </c>
      <c r="I435" s="5"/>
      <c r="J435" s="5"/>
      <c r="K435" s="5" t="s">
        <v>3105</v>
      </c>
      <c r="L435" s="5" t="s">
        <v>276</v>
      </c>
      <c r="M435" s="5" t="s">
        <v>3538</v>
      </c>
    </row>
    <row r="436" spans="1:13" ht="50.1" customHeight="1" x14ac:dyDescent="0.2">
      <c r="A436" s="5" t="s">
        <v>3539</v>
      </c>
      <c r="B436" s="5" t="s">
        <v>3534</v>
      </c>
      <c r="C436" s="5" t="s">
        <v>3540</v>
      </c>
      <c r="D436" s="5" t="s">
        <v>3541</v>
      </c>
      <c r="E436" s="8">
        <v>1</v>
      </c>
      <c r="F436" s="5" t="s">
        <v>132</v>
      </c>
      <c r="G436" s="5" t="s">
        <v>1097</v>
      </c>
      <c r="H436" s="5" t="s">
        <v>3542</v>
      </c>
      <c r="I436" s="5"/>
      <c r="J436" s="5"/>
      <c r="K436" s="5" t="s">
        <v>3105</v>
      </c>
      <c r="L436" s="5" t="s">
        <v>276</v>
      </c>
      <c r="M436" s="5" t="s">
        <v>3538</v>
      </c>
    </row>
    <row r="437" spans="1:13" ht="50.1" customHeight="1" x14ac:dyDescent="0.2">
      <c r="A437" s="5" t="s">
        <v>3543</v>
      </c>
      <c r="B437" s="5" t="s">
        <v>3534</v>
      </c>
      <c r="C437" s="5" t="s">
        <v>3544</v>
      </c>
      <c r="D437" s="5" t="s">
        <v>3545</v>
      </c>
      <c r="E437" s="8">
        <v>1</v>
      </c>
      <c r="F437" s="5" t="s">
        <v>132</v>
      </c>
      <c r="G437" s="5" t="s">
        <v>1097</v>
      </c>
      <c r="H437" s="5" t="s">
        <v>3546</v>
      </c>
      <c r="I437" s="5"/>
      <c r="J437" s="5"/>
      <c r="K437" s="5" t="s">
        <v>3105</v>
      </c>
      <c r="L437" s="5" t="s">
        <v>276</v>
      </c>
      <c r="M437" s="5" t="s">
        <v>3538</v>
      </c>
    </row>
    <row r="438" spans="1:13" ht="50.1" customHeight="1" x14ac:dyDescent="0.2">
      <c r="A438" s="5" t="s">
        <v>3547</v>
      </c>
      <c r="B438" s="5" t="s">
        <v>3534</v>
      </c>
      <c r="C438" s="5" t="s">
        <v>3548</v>
      </c>
      <c r="D438" s="5" t="s">
        <v>3549</v>
      </c>
      <c r="E438" s="8">
        <v>1</v>
      </c>
      <c r="F438" s="5" t="s">
        <v>132</v>
      </c>
      <c r="G438" s="5" t="s">
        <v>1097</v>
      </c>
      <c r="H438" s="5" t="s">
        <v>3550</v>
      </c>
      <c r="I438" s="5"/>
      <c r="J438" s="5"/>
      <c r="K438" s="5" t="s">
        <v>3105</v>
      </c>
      <c r="L438" s="5" t="s">
        <v>276</v>
      </c>
      <c r="M438" s="5" t="s">
        <v>3538</v>
      </c>
    </row>
    <row r="439" spans="1:13" ht="50.1" customHeight="1" x14ac:dyDescent="0.2">
      <c r="A439" s="5" t="s">
        <v>3551</v>
      </c>
      <c r="B439" s="5" t="s">
        <v>3534</v>
      </c>
      <c r="C439" s="5" t="s">
        <v>3552</v>
      </c>
      <c r="D439" s="5" t="s">
        <v>3553</v>
      </c>
      <c r="E439" s="8">
        <v>1</v>
      </c>
      <c r="F439" s="5" t="s">
        <v>132</v>
      </c>
      <c r="G439" s="5" t="s">
        <v>1097</v>
      </c>
      <c r="H439" s="5" t="s">
        <v>3554</v>
      </c>
      <c r="I439" s="5"/>
      <c r="J439" s="5"/>
      <c r="K439" s="5" t="s">
        <v>3105</v>
      </c>
      <c r="L439" s="5" t="s">
        <v>276</v>
      </c>
      <c r="M439" s="5" t="s">
        <v>3538</v>
      </c>
    </row>
    <row r="440" spans="1:13" ht="50.1" customHeight="1" x14ac:dyDescent="0.2">
      <c r="A440" s="5" t="s">
        <v>3555</v>
      </c>
      <c r="B440" s="5" t="s">
        <v>3556</v>
      </c>
      <c r="C440" s="5" t="s">
        <v>3557</v>
      </c>
      <c r="D440" s="5" t="s">
        <v>3558</v>
      </c>
      <c r="E440" s="8">
        <v>1</v>
      </c>
      <c r="F440" s="5" t="s">
        <v>142</v>
      </c>
      <c r="G440" s="5" t="s">
        <v>1177</v>
      </c>
      <c r="H440" s="5" t="s">
        <v>3559</v>
      </c>
      <c r="I440" s="5"/>
      <c r="J440" s="5" t="s">
        <v>258</v>
      </c>
      <c r="K440" s="5" t="s">
        <v>3105</v>
      </c>
      <c r="L440" s="5" t="s">
        <v>3560</v>
      </c>
      <c r="M440" s="5" t="s">
        <v>3561</v>
      </c>
    </row>
    <row r="441" spans="1:13" ht="50.1" customHeight="1" x14ac:dyDescent="0.2">
      <c r="A441" s="5" t="s">
        <v>3562</v>
      </c>
      <c r="B441" s="5" t="s">
        <v>3556</v>
      </c>
      <c r="C441" s="5" t="s">
        <v>3563</v>
      </c>
      <c r="D441" s="5" t="s">
        <v>3564</v>
      </c>
      <c r="E441" s="8">
        <v>1</v>
      </c>
      <c r="F441" s="5" t="s">
        <v>142</v>
      </c>
      <c r="G441" s="5" t="s">
        <v>1177</v>
      </c>
      <c r="H441" s="5" t="s">
        <v>145</v>
      </c>
      <c r="I441" s="5"/>
      <c r="J441" s="5" t="s">
        <v>262</v>
      </c>
      <c r="K441" s="5" t="s">
        <v>3105</v>
      </c>
      <c r="L441" s="5" t="s">
        <v>3560</v>
      </c>
      <c r="M441" s="5" t="s">
        <v>3561</v>
      </c>
    </row>
    <row r="442" spans="1:13" ht="50.1" customHeight="1" x14ac:dyDescent="0.2">
      <c r="A442" s="5" t="s">
        <v>3565</v>
      </c>
      <c r="B442" s="5" t="s">
        <v>3566</v>
      </c>
      <c r="C442" s="5" t="s">
        <v>3567</v>
      </c>
      <c r="D442" s="5" t="s">
        <v>3568</v>
      </c>
      <c r="E442" s="8">
        <v>1</v>
      </c>
      <c r="F442" s="5" t="s">
        <v>142</v>
      </c>
      <c r="G442" s="5" t="s">
        <v>856</v>
      </c>
      <c r="H442" s="5" t="s">
        <v>3569</v>
      </c>
      <c r="I442" s="5"/>
      <c r="J442" s="5"/>
      <c r="K442" s="5" t="s">
        <v>3105</v>
      </c>
      <c r="L442" s="5" t="s">
        <v>3560</v>
      </c>
      <c r="M442" s="5" t="s">
        <v>3561</v>
      </c>
    </row>
    <row r="443" spans="1:13" ht="50.1" customHeight="1" x14ac:dyDescent="0.2">
      <c r="A443" s="5" t="s">
        <v>3570</v>
      </c>
      <c r="B443" s="5" t="s">
        <v>3571</v>
      </c>
      <c r="C443" s="5" t="s">
        <v>3572</v>
      </c>
      <c r="D443" s="5" t="s">
        <v>3573</v>
      </c>
      <c r="E443" s="8">
        <v>1</v>
      </c>
      <c r="F443" s="5" t="s">
        <v>142</v>
      </c>
      <c r="G443" s="5" t="s">
        <v>935</v>
      </c>
      <c r="H443" s="5" t="s">
        <v>3574</v>
      </c>
      <c r="I443" s="5"/>
      <c r="J443" s="5" t="s">
        <v>252</v>
      </c>
      <c r="K443" s="5" t="s">
        <v>3105</v>
      </c>
      <c r="L443" s="5" t="s">
        <v>248</v>
      </c>
      <c r="M443" s="5" t="s">
        <v>3561</v>
      </c>
    </row>
    <row r="444" spans="1:13" ht="50.1" customHeight="1" x14ac:dyDescent="0.2">
      <c r="A444" s="5" t="s">
        <v>3575</v>
      </c>
      <c r="B444" s="5" t="s">
        <v>3576</v>
      </c>
      <c r="C444" s="5" t="s">
        <v>3577</v>
      </c>
      <c r="D444" s="5" t="s">
        <v>3578</v>
      </c>
      <c r="E444" s="8">
        <v>1</v>
      </c>
      <c r="F444" s="5" t="s">
        <v>142</v>
      </c>
      <c r="G444" s="5" t="s">
        <v>1016</v>
      </c>
      <c r="H444" s="5" t="s">
        <v>3579</v>
      </c>
      <c r="I444" s="5"/>
      <c r="J444" s="5" t="s">
        <v>254</v>
      </c>
      <c r="K444" s="5" t="s">
        <v>3105</v>
      </c>
      <c r="L444" s="5" t="s">
        <v>248</v>
      </c>
      <c r="M444" s="5" t="s">
        <v>3561</v>
      </c>
    </row>
    <row r="445" spans="1:13" ht="50.1" customHeight="1" x14ac:dyDescent="0.2">
      <c r="A445" s="5" t="s">
        <v>3580</v>
      </c>
      <c r="B445" s="5" t="s">
        <v>3556</v>
      </c>
      <c r="C445" s="5" t="s">
        <v>3581</v>
      </c>
      <c r="D445" s="5" t="s">
        <v>3582</v>
      </c>
      <c r="E445" s="8">
        <v>1</v>
      </c>
      <c r="F445" s="5" t="s">
        <v>142</v>
      </c>
      <c r="G445" s="5" t="s">
        <v>1177</v>
      </c>
      <c r="H445" s="5" t="s">
        <v>3583</v>
      </c>
      <c r="I445" s="5"/>
      <c r="J445" s="5" t="s">
        <v>258</v>
      </c>
      <c r="K445" s="5" t="s">
        <v>3105</v>
      </c>
      <c r="L445" s="5" t="s">
        <v>3560</v>
      </c>
      <c r="M445" s="5" t="s">
        <v>3561</v>
      </c>
    </row>
    <row r="446" spans="1:13" ht="50.1" customHeight="1" x14ac:dyDescent="0.2">
      <c r="A446" s="5" t="s">
        <v>3584</v>
      </c>
      <c r="B446" s="5" t="s">
        <v>3585</v>
      </c>
      <c r="C446" s="5" t="s">
        <v>3586</v>
      </c>
      <c r="D446" s="5" t="s">
        <v>3587</v>
      </c>
      <c r="E446" s="8">
        <v>1</v>
      </c>
      <c r="F446" s="5" t="s">
        <v>142</v>
      </c>
      <c r="G446" s="5" t="s">
        <v>1097</v>
      </c>
      <c r="H446" s="5" t="s">
        <v>3588</v>
      </c>
      <c r="I446" s="5"/>
      <c r="J446" s="5" t="s">
        <v>256</v>
      </c>
      <c r="K446" s="5" t="s">
        <v>3105</v>
      </c>
      <c r="L446" s="5" t="s">
        <v>248</v>
      </c>
      <c r="M446" s="5" t="s">
        <v>3561</v>
      </c>
    </row>
    <row r="447" spans="1:13" ht="50.1" customHeight="1" x14ac:dyDescent="0.2">
      <c r="A447" s="5" t="s">
        <v>3589</v>
      </c>
      <c r="B447" s="5" t="s">
        <v>3556</v>
      </c>
      <c r="C447" s="5" t="s">
        <v>3590</v>
      </c>
      <c r="D447" s="5" t="s">
        <v>3591</v>
      </c>
      <c r="E447" s="8">
        <v>1</v>
      </c>
      <c r="F447" s="5" t="s">
        <v>142</v>
      </c>
      <c r="G447" s="5" t="s">
        <v>1177</v>
      </c>
      <c r="H447" s="5" t="s">
        <v>3592</v>
      </c>
      <c r="I447" s="5"/>
      <c r="J447" s="5" t="s">
        <v>258</v>
      </c>
      <c r="K447" s="5" t="s">
        <v>3105</v>
      </c>
      <c r="L447" s="5" t="s">
        <v>3560</v>
      </c>
      <c r="M447" s="5" t="s">
        <v>3561</v>
      </c>
    </row>
    <row r="448" spans="1:13" ht="50.1" customHeight="1" x14ac:dyDescent="0.2">
      <c r="A448" s="5" t="s">
        <v>3593</v>
      </c>
      <c r="B448" s="5" t="s">
        <v>3594</v>
      </c>
      <c r="C448" s="5" t="s">
        <v>3595</v>
      </c>
      <c r="D448" s="5" t="s">
        <v>3596</v>
      </c>
      <c r="E448" s="8">
        <v>1</v>
      </c>
      <c r="F448" s="5" t="s">
        <v>142</v>
      </c>
      <c r="G448" s="5" t="s">
        <v>1097</v>
      </c>
      <c r="H448" s="5" t="s">
        <v>3597</v>
      </c>
      <c r="I448" s="5"/>
      <c r="J448" s="5" t="s">
        <v>256</v>
      </c>
      <c r="K448" s="5" t="s">
        <v>3105</v>
      </c>
      <c r="L448" s="5" t="s">
        <v>248</v>
      </c>
      <c r="M448" s="5" t="s">
        <v>3561</v>
      </c>
    </row>
    <row r="449" spans="1:13" ht="50.1" customHeight="1" x14ac:dyDescent="0.2">
      <c r="A449" s="5" t="s">
        <v>3598</v>
      </c>
      <c r="B449" s="5" t="s">
        <v>3599</v>
      </c>
      <c r="C449" s="5" t="s">
        <v>3600</v>
      </c>
      <c r="D449" s="5" t="s">
        <v>3601</v>
      </c>
      <c r="E449" s="8">
        <v>1</v>
      </c>
      <c r="F449" s="5" t="s">
        <v>142</v>
      </c>
      <c r="G449" s="5" t="s">
        <v>1272</v>
      </c>
      <c r="H449" s="5" t="s">
        <v>43</v>
      </c>
      <c r="I449" s="5"/>
      <c r="J449" s="5" t="s">
        <v>258</v>
      </c>
      <c r="K449" s="5" t="s">
        <v>3105</v>
      </c>
      <c r="L449" s="5" t="s">
        <v>248</v>
      </c>
      <c r="M449" s="5" t="s">
        <v>3561</v>
      </c>
    </row>
    <row r="450" spans="1:13" ht="50.1" customHeight="1" x14ac:dyDescent="0.2">
      <c r="A450" s="5" t="s">
        <v>3602</v>
      </c>
      <c r="B450" s="5" t="s">
        <v>3603</v>
      </c>
      <c r="C450" s="5" t="s">
        <v>3604</v>
      </c>
      <c r="D450" s="5" t="s">
        <v>3605</v>
      </c>
      <c r="E450" s="8">
        <v>1</v>
      </c>
      <c r="F450" s="5" t="s">
        <v>142</v>
      </c>
      <c r="G450" s="5" t="s">
        <v>1350</v>
      </c>
      <c r="H450" s="5" t="s">
        <v>3606</v>
      </c>
      <c r="I450" s="5"/>
      <c r="J450" s="5" t="s">
        <v>260</v>
      </c>
      <c r="K450" s="5" t="s">
        <v>3105</v>
      </c>
      <c r="L450" s="5" t="s">
        <v>248</v>
      </c>
      <c r="M450" s="5" t="s">
        <v>3561</v>
      </c>
    </row>
    <row r="451" spans="1:13" ht="50.1" customHeight="1" x14ac:dyDescent="0.2">
      <c r="A451" s="5" t="s">
        <v>3607</v>
      </c>
      <c r="B451" s="5" t="s">
        <v>3571</v>
      </c>
      <c r="C451" s="5" t="s">
        <v>3608</v>
      </c>
      <c r="D451" s="5" t="s">
        <v>3609</v>
      </c>
      <c r="E451" s="8">
        <v>1</v>
      </c>
      <c r="F451" s="5" t="s">
        <v>142</v>
      </c>
      <c r="G451" s="5" t="s">
        <v>935</v>
      </c>
      <c r="H451" s="5" t="s">
        <v>3610</v>
      </c>
      <c r="I451" s="5"/>
      <c r="J451" s="5" t="s">
        <v>252</v>
      </c>
      <c r="K451" s="5" t="s">
        <v>3105</v>
      </c>
      <c r="L451" s="5" t="s">
        <v>248</v>
      </c>
      <c r="M451" s="5" t="s">
        <v>3561</v>
      </c>
    </row>
    <row r="452" spans="1:13" ht="50.1" customHeight="1" x14ac:dyDescent="0.2">
      <c r="A452" s="5" t="s">
        <v>3611</v>
      </c>
      <c r="B452" s="5" t="s">
        <v>3576</v>
      </c>
      <c r="C452" s="5" t="s">
        <v>3612</v>
      </c>
      <c r="D452" s="5" t="s">
        <v>3613</v>
      </c>
      <c r="E452" s="8">
        <v>1</v>
      </c>
      <c r="F452" s="5" t="s">
        <v>142</v>
      </c>
      <c r="G452" s="5" t="s">
        <v>1016</v>
      </c>
      <c r="H452" s="5" t="s">
        <v>3614</v>
      </c>
      <c r="I452" s="5"/>
      <c r="J452" s="5" t="s">
        <v>254</v>
      </c>
      <c r="K452" s="5" t="s">
        <v>3105</v>
      </c>
      <c r="L452" s="5" t="s">
        <v>248</v>
      </c>
      <c r="M452" s="5" t="s">
        <v>3561</v>
      </c>
    </row>
    <row r="453" spans="1:13" ht="50.1" customHeight="1" x14ac:dyDescent="0.2">
      <c r="A453" s="5" t="s">
        <v>3615</v>
      </c>
      <c r="B453" s="5" t="s">
        <v>3556</v>
      </c>
      <c r="C453" s="5" t="s">
        <v>3616</v>
      </c>
      <c r="D453" s="5" t="s">
        <v>3617</v>
      </c>
      <c r="E453" s="8">
        <v>1</v>
      </c>
      <c r="F453" s="5" t="s">
        <v>142</v>
      </c>
      <c r="G453" s="5" t="s">
        <v>1177</v>
      </c>
      <c r="H453" s="5" t="s">
        <v>3618</v>
      </c>
      <c r="I453" s="5"/>
      <c r="J453" s="5" t="s">
        <v>258</v>
      </c>
      <c r="K453" s="5" t="s">
        <v>3105</v>
      </c>
      <c r="L453" s="5" t="s">
        <v>3560</v>
      </c>
      <c r="M453" s="5" t="s">
        <v>3561</v>
      </c>
    </row>
    <row r="454" spans="1:13" ht="50.1" customHeight="1" x14ac:dyDescent="0.2">
      <c r="A454" s="5" t="s">
        <v>3619</v>
      </c>
      <c r="B454" s="5" t="s">
        <v>3585</v>
      </c>
      <c r="C454" s="5" t="s">
        <v>3620</v>
      </c>
      <c r="D454" s="5" t="s">
        <v>3621</v>
      </c>
      <c r="E454" s="8">
        <v>1</v>
      </c>
      <c r="F454" s="5" t="s">
        <v>142</v>
      </c>
      <c r="G454" s="5" t="s">
        <v>1097</v>
      </c>
      <c r="H454" s="5" t="s">
        <v>3622</v>
      </c>
      <c r="I454" s="5"/>
      <c r="J454" s="5" t="s">
        <v>256</v>
      </c>
      <c r="K454" s="5" t="s">
        <v>3105</v>
      </c>
      <c r="L454" s="5" t="s">
        <v>248</v>
      </c>
      <c r="M454" s="5" t="s">
        <v>3561</v>
      </c>
    </row>
    <row r="455" spans="1:13" ht="50.1" customHeight="1" x14ac:dyDescent="0.2">
      <c r="A455" s="5" t="s">
        <v>3623</v>
      </c>
      <c r="B455" s="5" t="s">
        <v>3556</v>
      </c>
      <c r="C455" s="5" t="s">
        <v>3624</v>
      </c>
      <c r="D455" s="5" t="s">
        <v>3625</v>
      </c>
      <c r="E455" s="8">
        <v>1</v>
      </c>
      <c r="F455" s="5" t="s">
        <v>142</v>
      </c>
      <c r="G455" s="5" t="s">
        <v>1177</v>
      </c>
      <c r="H455" s="5" t="s">
        <v>3626</v>
      </c>
      <c r="I455" s="5"/>
      <c r="J455" s="5" t="s">
        <v>258</v>
      </c>
      <c r="K455" s="5" t="s">
        <v>3105</v>
      </c>
      <c r="L455" s="5" t="s">
        <v>3560</v>
      </c>
      <c r="M455" s="5" t="s">
        <v>3561</v>
      </c>
    </row>
    <row r="456" spans="1:13" ht="50.1" customHeight="1" x14ac:dyDescent="0.2">
      <c r="A456" s="5" t="s">
        <v>3627</v>
      </c>
      <c r="B456" s="5" t="s">
        <v>3594</v>
      </c>
      <c r="C456" s="5" t="s">
        <v>3628</v>
      </c>
      <c r="D456" s="5" t="s">
        <v>3629</v>
      </c>
      <c r="E456" s="8">
        <v>1</v>
      </c>
      <c r="F456" s="5" t="s">
        <v>142</v>
      </c>
      <c r="G456" s="5" t="s">
        <v>1097</v>
      </c>
      <c r="H456" s="5" t="s">
        <v>3630</v>
      </c>
      <c r="I456" s="5"/>
      <c r="J456" s="5" t="s">
        <v>256</v>
      </c>
      <c r="K456" s="5" t="s">
        <v>3105</v>
      </c>
      <c r="L456" s="5" t="s">
        <v>248</v>
      </c>
      <c r="M456" s="5" t="s">
        <v>3561</v>
      </c>
    </row>
    <row r="457" spans="1:13" ht="50.1" customHeight="1" x14ac:dyDescent="0.2">
      <c r="A457" s="5" t="s">
        <v>3631</v>
      </c>
      <c r="B457" s="5" t="s">
        <v>3599</v>
      </c>
      <c r="C457" s="5" t="s">
        <v>3632</v>
      </c>
      <c r="D457" s="5" t="s">
        <v>3633</v>
      </c>
      <c r="E457" s="8">
        <v>1</v>
      </c>
      <c r="F457" s="5" t="s">
        <v>142</v>
      </c>
      <c r="G457" s="5" t="s">
        <v>1272</v>
      </c>
      <c r="H457" s="5" t="s">
        <v>3634</v>
      </c>
      <c r="I457" s="5"/>
      <c r="J457" s="5" t="s">
        <v>258</v>
      </c>
      <c r="K457" s="5" t="s">
        <v>3105</v>
      </c>
      <c r="L457" s="5" t="s">
        <v>248</v>
      </c>
      <c r="M457" s="5" t="s">
        <v>3561</v>
      </c>
    </row>
    <row r="458" spans="1:13" ht="50.1" customHeight="1" x14ac:dyDescent="0.2">
      <c r="A458" s="5" t="s">
        <v>3635</v>
      </c>
      <c r="B458" s="5" t="s">
        <v>3603</v>
      </c>
      <c r="C458" s="5" t="s">
        <v>3636</v>
      </c>
      <c r="D458" s="5" t="s">
        <v>3637</v>
      </c>
      <c r="E458" s="8">
        <v>1</v>
      </c>
      <c r="F458" s="5" t="s">
        <v>142</v>
      </c>
      <c r="G458" s="5" t="s">
        <v>1350</v>
      </c>
      <c r="H458" s="5" t="s">
        <v>3638</v>
      </c>
      <c r="I458" s="5"/>
      <c r="J458" s="5" t="s">
        <v>260</v>
      </c>
      <c r="K458" s="5" t="s">
        <v>3105</v>
      </c>
      <c r="L458" s="5" t="s">
        <v>248</v>
      </c>
      <c r="M458" s="5" t="s">
        <v>3561</v>
      </c>
    </row>
    <row r="459" spans="1:13" ht="50.1" customHeight="1" x14ac:dyDescent="0.2">
      <c r="A459" s="5" t="s">
        <v>3639</v>
      </c>
      <c r="B459" s="5" t="s">
        <v>3571</v>
      </c>
      <c r="C459" s="5" t="s">
        <v>3640</v>
      </c>
      <c r="D459" s="5" t="s">
        <v>3641</v>
      </c>
      <c r="E459" s="8">
        <v>1</v>
      </c>
      <c r="F459" s="5" t="s">
        <v>142</v>
      </c>
      <c r="G459" s="5" t="s">
        <v>935</v>
      </c>
      <c r="H459" s="5" t="s">
        <v>3642</v>
      </c>
      <c r="I459" s="5"/>
      <c r="J459" s="5" t="s">
        <v>252</v>
      </c>
      <c r="K459" s="5" t="s">
        <v>3105</v>
      </c>
      <c r="L459" s="5" t="s">
        <v>248</v>
      </c>
      <c r="M459" s="5" t="s">
        <v>3561</v>
      </c>
    </row>
    <row r="460" spans="1:13" ht="50.1" customHeight="1" x14ac:dyDescent="0.2">
      <c r="A460" s="5" t="s">
        <v>3643</v>
      </c>
      <c r="B460" s="5" t="s">
        <v>3576</v>
      </c>
      <c r="C460" s="5" t="s">
        <v>3644</v>
      </c>
      <c r="D460" s="5" t="s">
        <v>3645</v>
      </c>
      <c r="E460" s="8">
        <v>1</v>
      </c>
      <c r="F460" s="5" t="s">
        <v>142</v>
      </c>
      <c r="G460" s="5" t="s">
        <v>1016</v>
      </c>
      <c r="H460" s="5" t="s">
        <v>3646</v>
      </c>
      <c r="I460" s="5"/>
      <c r="J460" s="5" t="s">
        <v>254</v>
      </c>
      <c r="K460" s="5" t="s">
        <v>3105</v>
      </c>
      <c r="L460" s="5" t="s">
        <v>248</v>
      </c>
      <c r="M460" s="5" t="s">
        <v>3561</v>
      </c>
    </row>
    <row r="461" spans="1:13" ht="50.1" customHeight="1" x14ac:dyDescent="0.2">
      <c r="A461" s="5" t="s">
        <v>3647</v>
      </c>
      <c r="B461" s="5" t="s">
        <v>3556</v>
      </c>
      <c r="C461" s="5" t="s">
        <v>3648</v>
      </c>
      <c r="D461" s="5" t="s">
        <v>3649</v>
      </c>
      <c r="E461" s="8">
        <v>1</v>
      </c>
      <c r="F461" s="5" t="s">
        <v>142</v>
      </c>
      <c r="G461" s="5" t="s">
        <v>1177</v>
      </c>
      <c r="H461" s="5" t="s">
        <v>3650</v>
      </c>
      <c r="I461" s="5"/>
      <c r="J461" s="5" t="s">
        <v>258</v>
      </c>
      <c r="K461" s="5" t="s">
        <v>3105</v>
      </c>
      <c r="L461" s="5" t="s">
        <v>3560</v>
      </c>
      <c r="M461" s="5" t="s">
        <v>3561</v>
      </c>
    </row>
    <row r="462" spans="1:13" ht="50.1" customHeight="1" x14ac:dyDescent="0.2">
      <c r="A462" s="5" t="s">
        <v>3651</v>
      </c>
      <c r="B462" s="5" t="s">
        <v>3585</v>
      </c>
      <c r="C462" s="5" t="s">
        <v>3652</v>
      </c>
      <c r="D462" s="5" t="s">
        <v>3653</v>
      </c>
      <c r="E462" s="8">
        <v>1</v>
      </c>
      <c r="F462" s="5" t="s">
        <v>142</v>
      </c>
      <c r="G462" s="5" t="s">
        <v>1097</v>
      </c>
      <c r="H462" s="5" t="s">
        <v>3654</v>
      </c>
      <c r="I462" s="5"/>
      <c r="J462" s="5" t="s">
        <v>256</v>
      </c>
      <c r="K462" s="5" t="s">
        <v>3105</v>
      </c>
      <c r="L462" s="5" t="s">
        <v>248</v>
      </c>
      <c r="M462" s="5" t="s">
        <v>3561</v>
      </c>
    </row>
    <row r="463" spans="1:13" ht="50.1" customHeight="1" x14ac:dyDescent="0.2">
      <c r="A463" s="5" t="s">
        <v>3655</v>
      </c>
      <c r="B463" s="5" t="s">
        <v>3556</v>
      </c>
      <c r="C463" s="5" t="s">
        <v>3656</v>
      </c>
      <c r="D463" s="5" t="s">
        <v>3657</v>
      </c>
      <c r="E463" s="8">
        <v>1</v>
      </c>
      <c r="F463" s="5" t="s">
        <v>142</v>
      </c>
      <c r="G463" s="5" t="s">
        <v>1177</v>
      </c>
      <c r="H463" s="5" t="s">
        <v>3658</v>
      </c>
      <c r="I463" s="5"/>
      <c r="J463" s="5" t="s">
        <v>258</v>
      </c>
      <c r="K463" s="5" t="s">
        <v>3105</v>
      </c>
      <c r="L463" s="5" t="s">
        <v>3560</v>
      </c>
      <c r="M463" s="5" t="s">
        <v>3561</v>
      </c>
    </row>
    <row r="464" spans="1:13" ht="50.1" customHeight="1" x14ac:dyDescent="0.2">
      <c r="A464" s="5" t="s">
        <v>3659</v>
      </c>
      <c r="B464" s="5" t="s">
        <v>3594</v>
      </c>
      <c r="C464" s="5" t="s">
        <v>3660</v>
      </c>
      <c r="D464" s="5" t="s">
        <v>3661</v>
      </c>
      <c r="E464" s="8">
        <v>1</v>
      </c>
      <c r="F464" s="5" t="s">
        <v>142</v>
      </c>
      <c r="G464" s="5" t="s">
        <v>1097</v>
      </c>
      <c r="H464" s="5" t="s">
        <v>3662</v>
      </c>
      <c r="I464" s="5"/>
      <c r="J464" s="5" t="s">
        <v>256</v>
      </c>
      <c r="K464" s="5" t="s">
        <v>3105</v>
      </c>
      <c r="L464" s="5" t="s">
        <v>248</v>
      </c>
      <c r="M464" s="5" t="s">
        <v>3561</v>
      </c>
    </row>
    <row r="465" spans="1:13" ht="50.1" customHeight="1" x14ac:dyDescent="0.2">
      <c r="A465" s="5" t="s">
        <v>3663</v>
      </c>
      <c r="B465" s="5" t="s">
        <v>3599</v>
      </c>
      <c r="C465" s="5" t="s">
        <v>3664</v>
      </c>
      <c r="D465" s="5" t="s">
        <v>3665</v>
      </c>
      <c r="E465" s="8">
        <v>1</v>
      </c>
      <c r="F465" s="5" t="s">
        <v>142</v>
      </c>
      <c r="G465" s="5" t="s">
        <v>1272</v>
      </c>
      <c r="H465" s="5" t="s">
        <v>3666</v>
      </c>
      <c r="I465" s="5"/>
      <c r="J465" s="5" t="s">
        <v>258</v>
      </c>
      <c r="K465" s="5" t="s">
        <v>3105</v>
      </c>
      <c r="L465" s="5" t="s">
        <v>248</v>
      </c>
      <c r="M465" s="5" t="s">
        <v>3561</v>
      </c>
    </row>
    <row r="466" spans="1:13" ht="50.1" customHeight="1" x14ac:dyDescent="0.2">
      <c r="A466" s="5" t="s">
        <v>3667</v>
      </c>
      <c r="B466" s="5" t="s">
        <v>3603</v>
      </c>
      <c r="C466" s="5" t="s">
        <v>3668</v>
      </c>
      <c r="D466" s="5" t="s">
        <v>3669</v>
      </c>
      <c r="E466" s="8">
        <v>1</v>
      </c>
      <c r="F466" s="5" t="s">
        <v>142</v>
      </c>
      <c r="G466" s="5" t="s">
        <v>1350</v>
      </c>
      <c r="H466" s="5" t="s">
        <v>3670</v>
      </c>
      <c r="I466" s="5"/>
      <c r="J466" s="5" t="s">
        <v>260</v>
      </c>
      <c r="K466" s="5" t="s">
        <v>3105</v>
      </c>
      <c r="L466" s="5" t="s">
        <v>248</v>
      </c>
      <c r="M466" s="5" t="s">
        <v>3561</v>
      </c>
    </row>
    <row r="467" spans="1:13" ht="50.1" customHeight="1" x14ac:dyDescent="0.2">
      <c r="A467" s="5" t="s">
        <v>3671</v>
      </c>
      <c r="B467" s="5" t="s">
        <v>3571</v>
      </c>
      <c r="C467" s="5" t="s">
        <v>3672</v>
      </c>
      <c r="D467" s="5" t="s">
        <v>3673</v>
      </c>
      <c r="E467" s="8">
        <v>1</v>
      </c>
      <c r="F467" s="5" t="s">
        <v>142</v>
      </c>
      <c r="G467" s="5" t="s">
        <v>935</v>
      </c>
      <c r="H467" s="5" t="s">
        <v>3674</v>
      </c>
      <c r="I467" s="5"/>
      <c r="J467" s="5" t="s">
        <v>252</v>
      </c>
      <c r="K467" s="5" t="s">
        <v>3105</v>
      </c>
      <c r="L467" s="5" t="s">
        <v>248</v>
      </c>
      <c r="M467" s="5" t="s">
        <v>3561</v>
      </c>
    </row>
    <row r="468" spans="1:13" ht="50.1" customHeight="1" x14ac:dyDescent="0.2">
      <c r="A468" s="5" t="s">
        <v>3675</v>
      </c>
      <c r="B468" s="5" t="s">
        <v>3576</v>
      </c>
      <c r="C468" s="5" t="s">
        <v>3676</v>
      </c>
      <c r="D468" s="5" t="s">
        <v>3677</v>
      </c>
      <c r="E468" s="8">
        <v>1</v>
      </c>
      <c r="F468" s="5" t="s">
        <v>142</v>
      </c>
      <c r="G468" s="5" t="s">
        <v>1016</v>
      </c>
      <c r="H468" s="5" t="s">
        <v>3678</v>
      </c>
      <c r="I468" s="5"/>
      <c r="J468" s="5" t="s">
        <v>254</v>
      </c>
      <c r="K468" s="5" t="s">
        <v>3105</v>
      </c>
      <c r="L468" s="5" t="s">
        <v>248</v>
      </c>
      <c r="M468" s="5" t="s">
        <v>3561</v>
      </c>
    </row>
    <row r="469" spans="1:13" ht="50.1" customHeight="1" x14ac:dyDescent="0.2">
      <c r="A469" s="5" t="s">
        <v>3679</v>
      </c>
      <c r="B469" s="5" t="s">
        <v>3556</v>
      </c>
      <c r="C469" s="5" t="s">
        <v>3680</v>
      </c>
      <c r="D469" s="5" t="s">
        <v>3681</v>
      </c>
      <c r="E469" s="8">
        <v>1</v>
      </c>
      <c r="F469" s="5" t="s">
        <v>142</v>
      </c>
      <c r="G469" s="5" t="s">
        <v>1177</v>
      </c>
      <c r="H469" s="5" t="s">
        <v>3682</v>
      </c>
      <c r="I469" s="5"/>
      <c r="J469" s="5" t="s">
        <v>258</v>
      </c>
      <c r="K469" s="5" t="s">
        <v>3105</v>
      </c>
      <c r="L469" s="5" t="s">
        <v>3560</v>
      </c>
      <c r="M469" s="5" t="s">
        <v>3561</v>
      </c>
    </row>
    <row r="470" spans="1:13" ht="50.1" customHeight="1" x14ac:dyDescent="0.2">
      <c r="A470" s="5" t="s">
        <v>3683</v>
      </c>
      <c r="B470" s="5" t="s">
        <v>3585</v>
      </c>
      <c r="C470" s="5" t="s">
        <v>3684</v>
      </c>
      <c r="D470" s="5" t="s">
        <v>3685</v>
      </c>
      <c r="E470" s="8">
        <v>1</v>
      </c>
      <c r="F470" s="5" t="s">
        <v>142</v>
      </c>
      <c r="G470" s="5" t="s">
        <v>1097</v>
      </c>
      <c r="H470" s="5" t="s">
        <v>3686</v>
      </c>
      <c r="I470" s="5"/>
      <c r="J470" s="5" t="s">
        <v>256</v>
      </c>
      <c r="K470" s="5" t="s">
        <v>3105</v>
      </c>
      <c r="L470" s="5" t="s">
        <v>248</v>
      </c>
      <c r="M470" s="5" t="s">
        <v>3561</v>
      </c>
    </row>
    <row r="471" spans="1:13" ht="50.1" customHeight="1" x14ac:dyDescent="0.2">
      <c r="A471" s="5" t="s">
        <v>3687</v>
      </c>
      <c r="B471" s="5" t="s">
        <v>3556</v>
      </c>
      <c r="C471" s="5" t="s">
        <v>3688</v>
      </c>
      <c r="D471" s="5" t="s">
        <v>3689</v>
      </c>
      <c r="E471" s="8">
        <v>1</v>
      </c>
      <c r="F471" s="5" t="s">
        <v>142</v>
      </c>
      <c r="G471" s="5" t="s">
        <v>1177</v>
      </c>
      <c r="H471" s="5" t="s">
        <v>3690</v>
      </c>
      <c r="I471" s="5"/>
      <c r="J471" s="5" t="s">
        <v>258</v>
      </c>
      <c r="K471" s="5" t="s">
        <v>3105</v>
      </c>
      <c r="L471" s="5" t="s">
        <v>3560</v>
      </c>
      <c r="M471" s="5" t="s">
        <v>3561</v>
      </c>
    </row>
    <row r="472" spans="1:13" ht="50.1" customHeight="1" x14ac:dyDescent="0.2">
      <c r="A472" s="5" t="s">
        <v>3691</v>
      </c>
      <c r="B472" s="5" t="s">
        <v>3594</v>
      </c>
      <c r="C472" s="5" t="s">
        <v>3692</v>
      </c>
      <c r="D472" s="5" t="s">
        <v>3693</v>
      </c>
      <c r="E472" s="8">
        <v>1</v>
      </c>
      <c r="F472" s="5" t="s">
        <v>142</v>
      </c>
      <c r="G472" s="5" t="s">
        <v>1097</v>
      </c>
      <c r="H472" s="5" t="s">
        <v>3694</v>
      </c>
      <c r="I472" s="5"/>
      <c r="J472" s="5" t="s">
        <v>256</v>
      </c>
      <c r="K472" s="5" t="s">
        <v>3105</v>
      </c>
      <c r="L472" s="5" t="s">
        <v>248</v>
      </c>
      <c r="M472" s="5" t="s">
        <v>3561</v>
      </c>
    </row>
    <row r="473" spans="1:13" ht="50.1" customHeight="1" x14ac:dyDescent="0.2">
      <c r="A473" s="5" t="s">
        <v>3695</v>
      </c>
      <c r="B473" s="5" t="s">
        <v>3599</v>
      </c>
      <c r="C473" s="5" t="s">
        <v>3696</v>
      </c>
      <c r="D473" s="5" t="s">
        <v>3697</v>
      </c>
      <c r="E473" s="8">
        <v>1</v>
      </c>
      <c r="F473" s="5" t="s">
        <v>142</v>
      </c>
      <c r="G473" s="5" t="s">
        <v>1272</v>
      </c>
      <c r="H473" s="5" t="s">
        <v>3698</v>
      </c>
      <c r="I473" s="5"/>
      <c r="J473" s="5" t="s">
        <v>258</v>
      </c>
      <c r="K473" s="5" t="s">
        <v>3105</v>
      </c>
      <c r="L473" s="5" t="s">
        <v>248</v>
      </c>
      <c r="M473" s="5" t="s">
        <v>3561</v>
      </c>
    </row>
    <row r="474" spans="1:13" ht="50.1" customHeight="1" x14ac:dyDescent="0.2">
      <c r="A474" s="5" t="s">
        <v>3699</v>
      </c>
      <c r="B474" s="5" t="s">
        <v>3603</v>
      </c>
      <c r="C474" s="5" t="s">
        <v>3700</v>
      </c>
      <c r="D474" s="5" t="s">
        <v>3701</v>
      </c>
      <c r="E474" s="8">
        <v>1</v>
      </c>
      <c r="F474" s="5" t="s">
        <v>142</v>
      </c>
      <c r="G474" s="5" t="s">
        <v>1350</v>
      </c>
      <c r="H474" s="5" t="s">
        <v>3702</v>
      </c>
      <c r="I474" s="5"/>
      <c r="J474" s="5" t="s">
        <v>260</v>
      </c>
      <c r="K474" s="5" t="s">
        <v>3105</v>
      </c>
      <c r="L474" s="5" t="s">
        <v>248</v>
      </c>
      <c r="M474" s="5" t="s">
        <v>3561</v>
      </c>
    </row>
    <row r="475" spans="1:13" ht="50.1" customHeight="1" x14ac:dyDescent="0.2">
      <c r="A475" s="5" t="s">
        <v>3703</v>
      </c>
      <c r="B475" s="5" t="s">
        <v>3571</v>
      </c>
      <c r="C475" s="5" t="s">
        <v>3704</v>
      </c>
      <c r="D475" s="5" t="s">
        <v>3705</v>
      </c>
      <c r="E475" s="8">
        <v>1</v>
      </c>
      <c r="F475" s="5" t="s">
        <v>142</v>
      </c>
      <c r="G475" s="5" t="s">
        <v>935</v>
      </c>
      <c r="H475" s="5" t="s">
        <v>3706</v>
      </c>
      <c r="I475" s="5"/>
      <c r="J475" s="5" t="s">
        <v>252</v>
      </c>
      <c r="K475" s="5" t="s">
        <v>3105</v>
      </c>
      <c r="L475" s="5" t="s">
        <v>248</v>
      </c>
      <c r="M475" s="5" t="s">
        <v>3561</v>
      </c>
    </row>
    <row r="476" spans="1:13" ht="50.1" customHeight="1" x14ac:dyDescent="0.2">
      <c r="A476" s="5" t="s">
        <v>3707</v>
      </c>
      <c r="B476" s="5" t="s">
        <v>3576</v>
      </c>
      <c r="C476" s="5" t="s">
        <v>3708</v>
      </c>
      <c r="D476" s="5" t="s">
        <v>3709</v>
      </c>
      <c r="E476" s="8">
        <v>1</v>
      </c>
      <c r="F476" s="5" t="s">
        <v>142</v>
      </c>
      <c r="G476" s="5" t="s">
        <v>1016</v>
      </c>
      <c r="H476" s="5" t="s">
        <v>3710</v>
      </c>
      <c r="I476" s="5"/>
      <c r="J476" s="5" t="s">
        <v>254</v>
      </c>
      <c r="K476" s="5" t="s">
        <v>3105</v>
      </c>
      <c r="L476" s="5" t="s">
        <v>248</v>
      </c>
      <c r="M476" s="5" t="s">
        <v>3561</v>
      </c>
    </row>
    <row r="477" spans="1:13" ht="50.1" customHeight="1" x14ac:dyDescent="0.2">
      <c r="A477" s="5" t="s">
        <v>3711</v>
      </c>
      <c r="B477" s="5" t="s">
        <v>3556</v>
      </c>
      <c r="C477" s="5" t="s">
        <v>3712</v>
      </c>
      <c r="D477" s="5" t="s">
        <v>3713</v>
      </c>
      <c r="E477" s="8">
        <v>1</v>
      </c>
      <c r="F477" s="5" t="s">
        <v>142</v>
      </c>
      <c r="G477" s="5" t="s">
        <v>1177</v>
      </c>
      <c r="H477" s="5" t="s">
        <v>3714</v>
      </c>
      <c r="I477" s="5"/>
      <c r="J477" s="5" t="s">
        <v>258</v>
      </c>
      <c r="K477" s="5" t="s">
        <v>3105</v>
      </c>
      <c r="L477" s="5" t="s">
        <v>3560</v>
      </c>
      <c r="M477" s="5" t="s">
        <v>3561</v>
      </c>
    </row>
    <row r="478" spans="1:13" ht="50.1" customHeight="1" x14ac:dyDescent="0.2">
      <c r="A478" s="5" t="s">
        <v>3715</v>
      </c>
      <c r="B478" s="5" t="s">
        <v>3585</v>
      </c>
      <c r="C478" s="5" t="s">
        <v>3716</v>
      </c>
      <c r="D478" s="5" t="s">
        <v>3717</v>
      </c>
      <c r="E478" s="8">
        <v>1</v>
      </c>
      <c r="F478" s="5" t="s">
        <v>142</v>
      </c>
      <c r="G478" s="5" t="s">
        <v>1097</v>
      </c>
      <c r="H478" s="5" t="s">
        <v>3718</v>
      </c>
      <c r="I478" s="5"/>
      <c r="J478" s="5" t="s">
        <v>256</v>
      </c>
      <c r="K478" s="5" t="s">
        <v>3105</v>
      </c>
      <c r="L478" s="5" t="s">
        <v>248</v>
      </c>
      <c r="M478" s="5" t="s">
        <v>3561</v>
      </c>
    </row>
    <row r="479" spans="1:13" ht="50.1" customHeight="1" x14ac:dyDescent="0.2">
      <c r="A479" s="5" t="s">
        <v>3719</v>
      </c>
      <c r="B479" s="5" t="s">
        <v>3556</v>
      </c>
      <c r="C479" s="5" t="s">
        <v>3720</v>
      </c>
      <c r="D479" s="5" t="s">
        <v>3721</v>
      </c>
      <c r="E479" s="8">
        <v>1</v>
      </c>
      <c r="F479" s="5" t="s">
        <v>142</v>
      </c>
      <c r="G479" s="5" t="s">
        <v>1177</v>
      </c>
      <c r="H479" s="5" t="s">
        <v>3722</v>
      </c>
      <c r="I479" s="5"/>
      <c r="J479" s="5" t="s">
        <v>258</v>
      </c>
      <c r="K479" s="5" t="s">
        <v>3105</v>
      </c>
      <c r="L479" s="5" t="s">
        <v>3560</v>
      </c>
      <c r="M479" s="5" t="s">
        <v>3561</v>
      </c>
    </row>
    <row r="480" spans="1:13" ht="50.1" customHeight="1" x14ac:dyDescent="0.2">
      <c r="A480" s="5" t="s">
        <v>3723</v>
      </c>
      <c r="B480" s="5" t="s">
        <v>3594</v>
      </c>
      <c r="C480" s="5" t="s">
        <v>3724</v>
      </c>
      <c r="D480" s="5" t="s">
        <v>3725</v>
      </c>
      <c r="E480" s="8">
        <v>1</v>
      </c>
      <c r="F480" s="5" t="s">
        <v>142</v>
      </c>
      <c r="G480" s="5" t="s">
        <v>1097</v>
      </c>
      <c r="H480" s="5" t="s">
        <v>3726</v>
      </c>
      <c r="I480" s="5"/>
      <c r="J480" s="5" t="s">
        <v>256</v>
      </c>
      <c r="K480" s="5" t="s">
        <v>3105</v>
      </c>
      <c r="L480" s="5" t="s">
        <v>248</v>
      </c>
      <c r="M480" s="5" t="s">
        <v>3561</v>
      </c>
    </row>
    <row r="481" spans="1:13" ht="50.1" customHeight="1" x14ac:dyDescent="0.2">
      <c r="A481" s="5" t="s">
        <v>3727</v>
      </c>
      <c r="B481" s="5" t="s">
        <v>3599</v>
      </c>
      <c r="C481" s="5" t="s">
        <v>3728</v>
      </c>
      <c r="D481" s="5" t="s">
        <v>3729</v>
      </c>
      <c r="E481" s="8">
        <v>1</v>
      </c>
      <c r="F481" s="5" t="s">
        <v>142</v>
      </c>
      <c r="G481" s="5" t="s">
        <v>1272</v>
      </c>
      <c r="H481" s="5" t="s">
        <v>3730</v>
      </c>
      <c r="I481" s="5"/>
      <c r="J481" s="5" t="s">
        <v>258</v>
      </c>
      <c r="K481" s="5" t="s">
        <v>3105</v>
      </c>
      <c r="L481" s="5" t="s">
        <v>248</v>
      </c>
      <c r="M481" s="5" t="s">
        <v>3561</v>
      </c>
    </row>
    <row r="482" spans="1:13" ht="50.1" customHeight="1" x14ac:dyDescent="0.2">
      <c r="A482" s="5" t="s">
        <v>3731</v>
      </c>
      <c r="B482" s="5" t="s">
        <v>3603</v>
      </c>
      <c r="C482" s="5" t="s">
        <v>3732</v>
      </c>
      <c r="D482" s="5" t="s">
        <v>3733</v>
      </c>
      <c r="E482" s="8">
        <v>1</v>
      </c>
      <c r="F482" s="5" t="s">
        <v>142</v>
      </c>
      <c r="G482" s="5" t="s">
        <v>1350</v>
      </c>
      <c r="H482" s="5" t="s">
        <v>3734</v>
      </c>
      <c r="I482" s="5"/>
      <c r="J482" s="5" t="s">
        <v>260</v>
      </c>
      <c r="K482" s="5" t="s">
        <v>3105</v>
      </c>
      <c r="L482" s="5" t="s">
        <v>248</v>
      </c>
      <c r="M482" s="5" t="s">
        <v>3561</v>
      </c>
    </row>
    <row r="483" spans="1:13" ht="50.1" customHeight="1" x14ac:dyDescent="0.2">
      <c r="A483" s="5" t="s">
        <v>3735</v>
      </c>
      <c r="B483" s="5" t="s">
        <v>3571</v>
      </c>
      <c r="C483" s="5" t="s">
        <v>3736</v>
      </c>
      <c r="D483" s="5" t="s">
        <v>3737</v>
      </c>
      <c r="E483" s="8">
        <v>1</v>
      </c>
      <c r="F483" s="5" t="s">
        <v>142</v>
      </c>
      <c r="G483" s="5" t="s">
        <v>935</v>
      </c>
      <c r="H483" s="5" t="s">
        <v>3738</v>
      </c>
      <c r="I483" s="5"/>
      <c r="J483" s="5" t="s">
        <v>252</v>
      </c>
      <c r="K483" s="5" t="s">
        <v>3105</v>
      </c>
      <c r="L483" s="5" t="s">
        <v>248</v>
      </c>
      <c r="M483" s="5" t="s">
        <v>3561</v>
      </c>
    </row>
    <row r="484" spans="1:13" ht="50.1" customHeight="1" x14ac:dyDescent="0.2">
      <c r="A484" s="5" t="s">
        <v>3739</v>
      </c>
      <c r="B484" s="5" t="s">
        <v>3576</v>
      </c>
      <c r="C484" s="5" t="s">
        <v>3740</v>
      </c>
      <c r="D484" s="5" t="s">
        <v>3741</v>
      </c>
      <c r="E484" s="8">
        <v>1</v>
      </c>
      <c r="F484" s="5" t="s">
        <v>142</v>
      </c>
      <c r="G484" s="5" t="s">
        <v>1016</v>
      </c>
      <c r="H484" s="5" t="s">
        <v>3742</v>
      </c>
      <c r="I484" s="5"/>
      <c r="J484" s="5" t="s">
        <v>254</v>
      </c>
      <c r="K484" s="5" t="s">
        <v>3105</v>
      </c>
      <c r="L484" s="5" t="s">
        <v>248</v>
      </c>
      <c r="M484" s="5" t="s">
        <v>3561</v>
      </c>
    </row>
    <row r="485" spans="1:13" ht="50.1" customHeight="1" x14ac:dyDescent="0.2">
      <c r="A485" s="5" t="s">
        <v>3743</v>
      </c>
      <c r="B485" s="5" t="s">
        <v>3556</v>
      </c>
      <c r="C485" s="5" t="s">
        <v>3744</v>
      </c>
      <c r="D485" s="5" t="s">
        <v>3745</v>
      </c>
      <c r="E485" s="8">
        <v>1</v>
      </c>
      <c r="F485" s="5" t="s">
        <v>142</v>
      </c>
      <c r="G485" s="5" t="s">
        <v>1177</v>
      </c>
      <c r="H485" s="5" t="s">
        <v>3746</v>
      </c>
      <c r="I485" s="5"/>
      <c r="J485" s="5" t="s">
        <v>258</v>
      </c>
      <c r="K485" s="5" t="s">
        <v>3105</v>
      </c>
      <c r="L485" s="5" t="s">
        <v>3560</v>
      </c>
      <c r="M485" s="5" t="s">
        <v>3561</v>
      </c>
    </row>
    <row r="486" spans="1:13" ht="50.1" customHeight="1" x14ac:dyDescent="0.2">
      <c r="A486" s="5" t="s">
        <v>3747</v>
      </c>
      <c r="B486" s="5" t="s">
        <v>3585</v>
      </c>
      <c r="C486" s="5" t="s">
        <v>3748</v>
      </c>
      <c r="D486" s="5" t="s">
        <v>3749</v>
      </c>
      <c r="E486" s="8">
        <v>1</v>
      </c>
      <c r="F486" s="5" t="s">
        <v>142</v>
      </c>
      <c r="G486" s="5" t="s">
        <v>1097</v>
      </c>
      <c r="H486" s="5" t="s">
        <v>3750</v>
      </c>
      <c r="I486" s="5"/>
      <c r="J486" s="5" t="s">
        <v>256</v>
      </c>
      <c r="K486" s="5" t="s">
        <v>3105</v>
      </c>
      <c r="L486" s="5" t="s">
        <v>248</v>
      </c>
      <c r="M486" s="5" t="s">
        <v>3561</v>
      </c>
    </row>
    <row r="487" spans="1:13" ht="50.1" customHeight="1" x14ac:dyDescent="0.2">
      <c r="A487" s="5" t="s">
        <v>3751</v>
      </c>
      <c r="B487" s="5" t="s">
        <v>3556</v>
      </c>
      <c r="C487" s="5" t="s">
        <v>3752</v>
      </c>
      <c r="D487" s="5" t="s">
        <v>3753</v>
      </c>
      <c r="E487" s="8">
        <v>1</v>
      </c>
      <c r="F487" s="5" t="s">
        <v>142</v>
      </c>
      <c r="G487" s="5" t="s">
        <v>1177</v>
      </c>
      <c r="H487" s="5" t="s">
        <v>3754</v>
      </c>
      <c r="I487" s="5"/>
      <c r="J487" s="5" t="s">
        <v>258</v>
      </c>
      <c r="K487" s="5" t="s">
        <v>3105</v>
      </c>
      <c r="L487" s="5" t="s">
        <v>3560</v>
      </c>
      <c r="M487" s="5" t="s">
        <v>3561</v>
      </c>
    </row>
    <row r="488" spans="1:13" ht="50.1" customHeight="1" x14ac:dyDescent="0.2">
      <c r="A488" s="5" t="s">
        <v>3755</v>
      </c>
      <c r="B488" s="5" t="s">
        <v>3594</v>
      </c>
      <c r="C488" s="5" t="s">
        <v>3756</v>
      </c>
      <c r="D488" s="5" t="s">
        <v>3757</v>
      </c>
      <c r="E488" s="8">
        <v>1</v>
      </c>
      <c r="F488" s="5" t="s">
        <v>142</v>
      </c>
      <c r="G488" s="5" t="s">
        <v>1097</v>
      </c>
      <c r="H488" s="5" t="s">
        <v>3758</v>
      </c>
      <c r="I488" s="5"/>
      <c r="J488" s="5" t="s">
        <v>256</v>
      </c>
      <c r="K488" s="5" t="s">
        <v>3105</v>
      </c>
      <c r="L488" s="5" t="s">
        <v>248</v>
      </c>
      <c r="M488" s="5" t="s">
        <v>3561</v>
      </c>
    </row>
    <row r="489" spans="1:13" ht="50.1" customHeight="1" x14ac:dyDescent="0.2">
      <c r="A489" s="5" t="s">
        <v>3759</v>
      </c>
      <c r="B489" s="5" t="s">
        <v>3599</v>
      </c>
      <c r="C489" s="5" t="s">
        <v>3760</v>
      </c>
      <c r="D489" s="5" t="s">
        <v>3761</v>
      </c>
      <c r="E489" s="8">
        <v>1</v>
      </c>
      <c r="F489" s="5" t="s">
        <v>142</v>
      </c>
      <c r="G489" s="5" t="s">
        <v>1272</v>
      </c>
      <c r="H489" s="5" t="s">
        <v>3762</v>
      </c>
      <c r="I489" s="5"/>
      <c r="J489" s="5" t="s">
        <v>258</v>
      </c>
      <c r="K489" s="5" t="s">
        <v>3105</v>
      </c>
      <c r="L489" s="5" t="s">
        <v>248</v>
      </c>
      <c r="M489" s="5" t="s">
        <v>3561</v>
      </c>
    </row>
    <row r="490" spans="1:13" ht="50.1" customHeight="1" x14ac:dyDescent="0.2">
      <c r="A490" s="5" t="s">
        <v>3763</v>
      </c>
      <c r="B490" s="5" t="s">
        <v>3603</v>
      </c>
      <c r="C490" s="5" t="s">
        <v>3764</v>
      </c>
      <c r="D490" s="5" t="s">
        <v>3765</v>
      </c>
      <c r="E490" s="8">
        <v>1</v>
      </c>
      <c r="F490" s="5" t="s">
        <v>142</v>
      </c>
      <c r="G490" s="5" t="s">
        <v>1350</v>
      </c>
      <c r="H490" s="5" t="s">
        <v>3766</v>
      </c>
      <c r="I490" s="5"/>
      <c r="J490" s="5" t="s">
        <v>260</v>
      </c>
      <c r="K490" s="5" t="s">
        <v>3105</v>
      </c>
      <c r="L490" s="5" t="s">
        <v>248</v>
      </c>
      <c r="M490" s="5" t="s">
        <v>3561</v>
      </c>
    </row>
    <row r="491" spans="1:13" ht="50.1" customHeight="1" x14ac:dyDescent="0.2">
      <c r="A491" s="5" t="s">
        <v>3767</v>
      </c>
      <c r="B491" s="5" t="s">
        <v>3571</v>
      </c>
      <c r="C491" s="5" t="s">
        <v>3768</v>
      </c>
      <c r="D491" s="5" t="s">
        <v>3769</v>
      </c>
      <c r="E491" s="8">
        <v>1</v>
      </c>
      <c r="F491" s="5" t="s">
        <v>142</v>
      </c>
      <c r="G491" s="5" t="s">
        <v>935</v>
      </c>
      <c r="H491" s="5" t="s">
        <v>3770</v>
      </c>
      <c r="I491" s="5"/>
      <c r="J491" s="5" t="s">
        <v>252</v>
      </c>
      <c r="K491" s="5" t="s">
        <v>3105</v>
      </c>
      <c r="L491" s="5" t="s">
        <v>248</v>
      </c>
      <c r="M491" s="5" t="s">
        <v>3561</v>
      </c>
    </row>
    <row r="492" spans="1:13" ht="50.1" customHeight="1" x14ac:dyDescent="0.2">
      <c r="A492" s="5" t="s">
        <v>3771</v>
      </c>
      <c r="B492" s="5" t="s">
        <v>3576</v>
      </c>
      <c r="C492" s="5" t="s">
        <v>3772</v>
      </c>
      <c r="D492" s="5" t="s">
        <v>3773</v>
      </c>
      <c r="E492" s="8">
        <v>1</v>
      </c>
      <c r="F492" s="5" t="s">
        <v>142</v>
      </c>
      <c r="G492" s="5" t="s">
        <v>1016</v>
      </c>
      <c r="H492" s="5" t="s">
        <v>3774</v>
      </c>
      <c r="I492" s="5"/>
      <c r="J492" s="5" t="s">
        <v>254</v>
      </c>
      <c r="K492" s="5" t="s">
        <v>3105</v>
      </c>
      <c r="L492" s="5" t="s">
        <v>248</v>
      </c>
      <c r="M492" s="5" t="s">
        <v>3561</v>
      </c>
    </row>
    <row r="493" spans="1:13" ht="50.1" customHeight="1" x14ac:dyDescent="0.2">
      <c r="A493" s="5" t="s">
        <v>3775</v>
      </c>
      <c r="B493" s="5" t="s">
        <v>3556</v>
      </c>
      <c r="C493" s="5" t="s">
        <v>3776</v>
      </c>
      <c r="D493" s="5" t="s">
        <v>3777</v>
      </c>
      <c r="E493" s="8">
        <v>1</v>
      </c>
      <c r="F493" s="5" t="s">
        <v>142</v>
      </c>
      <c r="G493" s="5" t="s">
        <v>1177</v>
      </c>
      <c r="H493" s="5" t="s">
        <v>3778</v>
      </c>
      <c r="I493" s="5"/>
      <c r="J493" s="5" t="s">
        <v>258</v>
      </c>
      <c r="K493" s="5" t="s">
        <v>3105</v>
      </c>
      <c r="L493" s="5" t="s">
        <v>3560</v>
      </c>
      <c r="M493" s="5" t="s">
        <v>3561</v>
      </c>
    </row>
    <row r="494" spans="1:13" ht="50.1" customHeight="1" x14ac:dyDescent="0.2">
      <c r="A494" s="5" t="s">
        <v>3779</v>
      </c>
      <c r="B494" s="5" t="s">
        <v>3585</v>
      </c>
      <c r="C494" s="5" t="s">
        <v>3780</v>
      </c>
      <c r="D494" s="5" t="s">
        <v>3781</v>
      </c>
      <c r="E494" s="8">
        <v>1</v>
      </c>
      <c r="F494" s="5" t="s">
        <v>142</v>
      </c>
      <c r="G494" s="5" t="s">
        <v>1097</v>
      </c>
      <c r="H494" s="5" t="s">
        <v>3782</v>
      </c>
      <c r="I494" s="5"/>
      <c r="J494" s="5" t="s">
        <v>256</v>
      </c>
      <c r="K494" s="5" t="s">
        <v>3105</v>
      </c>
      <c r="L494" s="5" t="s">
        <v>248</v>
      </c>
      <c r="M494" s="5" t="s">
        <v>3561</v>
      </c>
    </row>
    <row r="495" spans="1:13" ht="50.1" customHeight="1" x14ac:dyDescent="0.2">
      <c r="A495" s="5" t="s">
        <v>3783</v>
      </c>
      <c r="B495" s="5" t="s">
        <v>3556</v>
      </c>
      <c r="C495" s="5" t="s">
        <v>3784</v>
      </c>
      <c r="D495" s="5" t="s">
        <v>3785</v>
      </c>
      <c r="E495" s="8">
        <v>1</v>
      </c>
      <c r="F495" s="5" t="s">
        <v>142</v>
      </c>
      <c r="G495" s="5" t="s">
        <v>1177</v>
      </c>
      <c r="H495" s="5" t="s">
        <v>3786</v>
      </c>
      <c r="I495" s="5"/>
      <c r="J495" s="5" t="s">
        <v>258</v>
      </c>
      <c r="K495" s="5" t="s">
        <v>3105</v>
      </c>
      <c r="L495" s="5" t="s">
        <v>3560</v>
      </c>
      <c r="M495" s="5" t="s">
        <v>3561</v>
      </c>
    </row>
    <row r="496" spans="1:13" ht="50.1" customHeight="1" x14ac:dyDescent="0.2">
      <c r="A496" s="5" t="s">
        <v>3787</v>
      </c>
      <c r="B496" s="5" t="s">
        <v>3594</v>
      </c>
      <c r="C496" s="5" t="s">
        <v>3788</v>
      </c>
      <c r="D496" s="5" t="s">
        <v>3789</v>
      </c>
      <c r="E496" s="8">
        <v>1</v>
      </c>
      <c r="F496" s="5" t="s">
        <v>142</v>
      </c>
      <c r="G496" s="5" t="s">
        <v>1097</v>
      </c>
      <c r="H496" s="5" t="s">
        <v>3790</v>
      </c>
      <c r="I496" s="5"/>
      <c r="J496" s="5" t="s">
        <v>256</v>
      </c>
      <c r="K496" s="5" t="s">
        <v>3105</v>
      </c>
      <c r="L496" s="5" t="s">
        <v>248</v>
      </c>
      <c r="M496" s="5" t="s">
        <v>3561</v>
      </c>
    </row>
    <row r="497" spans="1:13" ht="50.1" customHeight="1" x14ac:dyDescent="0.2">
      <c r="A497" s="5" t="s">
        <v>3791</v>
      </c>
      <c r="B497" s="5" t="s">
        <v>3599</v>
      </c>
      <c r="C497" s="5" t="s">
        <v>3792</v>
      </c>
      <c r="D497" s="5" t="s">
        <v>3793</v>
      </c>
      <c r="E497" s="8">
        <v>1</v>
      </c>
      <c r="F497" s="5" t="s">
        <v>142</v>
      </c>
      <c r="G497" s="5" t="s">
        <v>1272</v>
      </c>
      <c r="H497" s="5" t="s">
        <v>3794</v>
      </c>
      <c r="I497" s="5"/>
      <c r="J497" s="5" t="s">
        <v>258</v>
      </c>
      <c r="K497" s="5" t="s">
        <v>3105</v>
      </c>
      <c r="L497" s="5" t="s">
        <v>248</v>
      </c>
      <c r="M497" s="5" t="s">
        <v>3561</v>
      </c>
    </row>
    <row r="498" spans="1:13" ht="50.1" customHeight="1" x14ac:dyDescent="0.2">
      <c r="A498" s="5" t="s">
        <v>3795</v>
      </c>
      <c r="B498" s="5" t="s">
        <v>3603</v>
      </c>
      <c r="C498" s="5" t="s">
        <v>3796</v>
      </c>
      <c r="D498" s="5" t="s">
        <v>3797</v>
      </c>
      <c r="E498" s="8">
        <v>1</v>
      </c>
      <c r="F498" s="5" t="s">
        <v>142</v>
      </c>
      <c r="G498" s="5" t="s">
        <v>1350</v>
      </c>
      <c r="H498" s="5" t="s">
        <v>3798</v>
      </c>
      <c r="I498" s="5"/>
      <c r="J498" s="5" t="s">
        <v>260</v>
      </c>
      <c r="K498" s="5" t="s">
        <v>3105</v>
      </c>
      <c r="L498" s="5" t="s">
        <v>248</v>
      </c>
      <c r="M498" s="5" t="s">
        <v>3561</v>
      </c>
    </row>
    <row r="499" spans="1:13" ht="50.1" customHeight="1" x14ac:dyDescent="0.2">
      <c r="A499" s="5" t="s">
        <v>3799</v>
      </c>
      <c r="B499" s="5" t="s">
        <v>3571</v>
      </c>
      <c r="C499" s="5" t="s">
        <v>3800</v>
      </c>
      <c r="D499" s="5" t="s">
        <v>3801</v>
      </c>
      <c r="E499" s="8">
        <v>1</v>
      </c>
      <c r="F499" s="5" t="s">
        <v>142</v>
      </c>
      <c r="G499" s="5" t="s">
        <v>935</v>
      </c>
      <c r="H499" s="5" t="s">
        <v>3802</v>
      </c>
      <c r="I499" s="5"/>
      <c r="J499" s="5" t="s">
        <v>252</v>
      </c>
      <c r="K499" s="5" t="s">
        <v>3105</v>
      </c>
      <c r="L499" s="5" t="s">
        <v>248</v>
      </c>
      <c r="M499" s="5" t="s">
        <v>3561</v>
      </c>
    </row>
    <row r="500" spans="1:13" ht="50.1" customHeight="1" x14ac:dyDescent="0.2">
      <c r="A500" s="5" t="s">
        <v>3803</v>
      </c>
      <c r="B500" s="5" t="s">
        <v>3576</v>
      </c>
      <c r="C500" s="5" t="s">
        <v>3804</v>
      </c>
      <c r="D500" s="5" t="s">
        <v>3805</v>
      </c>
      <c r="E500" s="8">
        <v>1</v>
      </c>
      <c r="F500" s="5" t="s">
        <v>142</v>
      </c>
      <c r="G500" s="5" t="s">
        <v>1016</v>
      </c>
      <c r="H500" s="5" t="s">
        <v>3806</v>
      </c>
      <c r="I500" s="5"/>
      <c r="J500" s="5" t="s">
        <v>254</v>
      </c>
      <c r="K500" s="5" t="s">
        <v>3105</v>
      </c>
      <c r="L500" s="5" t="s">
        <v>248</v>
      </c>
      <c r="M500" s="5" t="s">
        <v>3561</v>
      </c>
    </row>
    <row r="501" spans="1:13" ht="50.1" customHeight="1" x14ac:dyDescent="0.2">
      <c r="A501" s="5" t="s">
        <v>3807</v>
      </c>
      <c r="B501" s="5" t="s">
        <v>3556</v>
      </c>
      <c r="C501" s="5" t="s">
        <v>3808</v>
      </c>
      <c r="D501" s="5" t="s">
        <v>3809</v>
      </c>
      <c r="E501" s="8">
        <v>1</v>
      </c>
      <c r="F501" s="5" t="s">
        <v>142</v>
      </c>
      <c r="G501" s="5" t="s">
        <v>1177</v>
      </c>
      <c r="H501" s="5" t="s">
        <v>3810</v>
      </c>
      <c r="I501" s="5"/>
      <c r="J501" s="5" t="s">
        <v>258</v>
      </c>
      <c r="K501" s="5" t="s">
        <v>3105</v>
      </c>
      <c r="L501" s="5" t="s">
        <v>3560</v>
      </c>
      <c r="M501" s="5" t="s">
        <v>3561</v>
      </c>
    </row>
    <row r="502" spans="1:13" ht="50.1" customHeight="1" x14ac:dyDescent="0.2">
      <c r="A502" s="5" t="s">
        <v>3811</v>
      </c>
      <c r="B502" s="5" t="s">
        <v>3585</v>
      </c>
      <c r="C502" s="5" t="s">
        <v>3812</v>
      </c>
      <c r="D502" s="5" t="s">
        <v>3813</v>
      </c>
      <c r="E502" s="8">
        <v>1</v>
      </c>
      <c r="F502" s="5" t="s">
        <v>142</v>
      </c>
      <c r="G502" s="5" t="s">
        <v>1097</v>
      </c>
      <c r="H502" s="5" t="s">
        <v>3814</v>
      </c>
      <c r="I502" s="5"/>
      <c r="J502" s="5" t="s">
        <v>256</v>
      </c>
      <c r="K502" s="5" t="s">
        <v>3105</v>
      </c>
      <c r="L502" s="5" t="s">
        <v>248</v>
      </c>
      <c r="M502" s="5" t="s">
        <v>3561</v>
      </c>
    </row>
    <row r="503" spans="1:13" ht="50.1" customHeight="1" x14ac:dyDescent="0.2">
      <c r="A503" s="5" t="s">
        <v>3815</v>
      </c>
      <c r="B503" s="5" t="s">
        <v>3556</v>
      </c>
      <c r="C503" s="5" t="s">
        <v>3816</v>
      </c>
      <c r="D503" s="5" t="s">
        <v>3817</v>
      </c>
      <c r="E503" s="8">
        <v>1</v>
      </c>
      <c r="F503" s="5" t="s">
        <v>142</v>
      </c>
      <c r="G503" s="5" t="s">
        <v>1177</v>
      </c>
      <c r="H503" s="5" t="s">
        <v>3818</v>
      </c>
      <c r="I503" s="5"/>
      <c r="J503" s="5" t="s">
        <v>258</v>
      </c>
      <c r="K503" s="5" t="s">
        <v>3105</v>
      </c>
      <c r="L503" s="5" t="s">
        <v>3560</v>
      </c>
      <c r="M503" s="5" t="s">
        <v>3561</v>
      </c>
    </row>
    <row r="504" spans="1:13" ht="50.1" customHeight="1" x14ac:dyDescent="0.2">
      <c r="A504" s="5" t="s">
        <v>3819</v>
      </c>
      <c r="B504" s="5" t="s">
        <v>3594</v>
      </c>
      <c r="C504" s="5" t="s">
        <v>3820</v>
      </c>
      <c r="D504" s="5" t="s">
        <v>3821</v>
      </c>
      <c r="E504" s="8">
        <v>1</v>
      </c>
      <c r="F504" s="5" t="s">
        <v>142</v>
      </c>
      <c r="G504" s="5" t="s">
        <v>1097</v>
      </c>
      <c r="H504" s="5" t="s">
        <v>3822</v>
      </c>
      <c r="I504" s="5"/>
      <c r="J504" s="5" t="s">
        <v>256</v>
      </c>
      <c r="K504" s="5" t="s">
        <v>3105</v>
      </c>
      <c r="L504" s="5" t="s">
        <v>248</v>
      </c>
      <c r="M504" s="5" t="s">
        <v>3561</v>
      </c>
    </row>
    <row r="505" spans="1:13" ht="50.1" customHeight="1" x14ac:dyDescent="0.2">
      <c r="A505" s="5" t="s">
        <v>3823</v>
      </c>
      <c r="B505" s="5" t="s">
        <v>3599</v>
      </c>
      <c r="C505" s="5" t="s">
        <v>3824</v>
      </c>
      <c r="D505" s="5" t="s">
        <v>3825</v>
      </c>
      <c r="E505" s="8">
        <v>1</v>
      </c>
      <c r="F505" s="5" t="s">
        <v>142</v>
      </c>
      <c r="G505" s="5" t="s">
        <v>1272</v>
      </c>
      <c r="H505" s="5" t="s">
        <v>3826</v>
      </c>
      <c r="I505" s="5"/>
      <c r="J505" s="5" t="s">
        <v>258</v>
      </c>
      <c r="K505" s="5" t="s">
        <v>3105</v>
      </c>
      <c r="L505" s="5" t="s">
        <v>248</v>
      </c>
      <c r="M505" s="5" t="s">
        <v>3561</v>
      </c>
    </row>
    <row r="506" spans="1:13" ht="50.1" customHeight="1" x14ac:dyDescent="0.2">
      <c r="A506" s="5" t="s">
        <v>3827</v>
      </c>
      <c r="B506" s="5" t="s">
        <v>3603</v>
      </c>
      <c r="C506" s="5" t="s">
        <v>3828</v>
      </c>
      <c r="D506" s="5" t="s">
        <v>3829</v>
      </c>
      <c r="E506" s="8">
        <v>1</v>
      </c>
      <c r="F506" s="5" t="s">
        <v>142</v>
      </c>
      <c r="G506" s="5" t="s">
        <v>1350</v>
      </c>
      <c r="H506" s="5" t="s">
        <v>3830</v>
      </c>
      <c r="I506" s="5"/>
      <c r="J506" s="5" t="s">
        <v>260</v>
      </c>
      <c r="K506" s="5" t="s">
        <v>3105</v>
      </c>
      <c r="L506" s="5" t="s">
        <v>248</v>
      </c>
      <c r="M506" s="5" t="s">
        <v>3561</v>
      </c>
    </row>
    <row r="507" spans="1:13" ht="50.1" customHeight="1" x14ac:dyDescent="0.2">
      <c r="A507" s="5" t="s">
        <v>3831</v>
      </c>
      <c r="B507" s="5" t="s">
        <v>3832</v>
      </c>
      <c r="C507" s="5" t="s">
        <v>3833</v>
      </c>
      <c r="D507" s="5" t="s">
        <v>3834</v>
      </c>
      <c r="E507" s="8">
        <v>1</v>
      </c>
      <c r="F507" s="5" t="s">
        <v>142</v>
      </c>
      <c r="G507" s="5" t="s">
        <v>1793</v>
      </c>
      <c r="H507" s="5" t="s">
        <v>146</v>
      </c>
      <c r="I507" s="5"/>
      <c r="J507" s="5" t="s">
        <v>262</v>
      </c>
      <c r="K507" s="5" t="s">
        <v>3105</v>
      </c>
      <c r="L507" s="5" t="s">
        <v>248</v>
      </c>
      <c r="M507" s="5" t="s">
        <v>3561</v>
      </c>
    </row>
    <row r="508" spans="1:13" ht="50.1" customHeight="1" x14ac:dyDescent="0.2">
      <c r="A508" s="5" t="s">
        <v>3835</v>
      </c>
      <c r="B508" s="5" t="s">
        <v>2639</v>
      </c>
      <c r="C508" s="5" t="s">
        <v>3836</v>
      </c>
      <c r="D508" s="5" t="s">
        <v>3837</v>
      </c>
      <c r="E508" s="8">
        <v>1</v>
      </c>
      <c r="F508" s="5" t="s">
        <v>132</v>
      </c>
      <c r="G508" s="5" t="s">
        <v>2642</v>
      </c>
      <c r="H508" s="5" t="s">
        <v>3838</v>
      </c>
      <c r="I508" s="5"/>
      <c r="J508" s="5"/>
      <c r="K508" s="5" t="s">
        <v>3105</v>
      </c>
      <c r="L508" s="5" t="s">
        <v>276</v>
      </c>
      <c r="M508" s="5" t="s">
        <v>851</v>
      </c>
    </row>
    <row r="509" spans="1:13" ht="50.1" customHeight="1" x14ac:dyDescent="0.2">
      <c r="A509" s="5" t="s">
        <v>3839</v>
      </c>
      <c r="B509" s="5" t="s">
        <v>2639</v>
      </c>
      <c r="C509" s="5" t="s">
        <v>3840</v>
      </c>
      <c r="D509" s="5" t="s">
        <v>3841</v>
      </c>
      <c r="E509" s="8">
        <v>1</v>
      </c>
      <c r="F509" s="5" t="s">
        <v>132</v>
      </c>
      <c r="G509" s="5" t="s">
        <v>2642</v>
      </c>
      <c r="H509" s="5" t="s">
        <v>3842</v>
      </c>
      <c r="I509" s="5"/>
      <c r="J509" s="5"/>
      <c r="K509" s="5" t="s">
        <v>3105</v>
      </c>
      <c r="L509" s="5" t="s">
        <v>276</v>
      </c>
      <c r="M509" s="5" t="s">
        <v>851</v>
      </c>
    </row>
    <row r="510" spans="1:13" ht="50.1" customHeight="1" x14ac:dyDescent="0.2">
      <c r="A510" s="5" t="s">
        <v>3843</v>
      </c>
      <c r="B510" s="5" t="s">
        <v>2639</v>
      </c>
      <c r="C510" s="5" t="s">
        <v>3844</v>
      </c>
      <c r="D510" s="5" t="s">
        <v>3845</v>
      </c>
      <c r="E510" s="8">
        <v>1</v>
      </c>
      <c r="F510" s="5" t="s">
        <v>132</v>
      </c>
      <c r="G510" s="5" t="s">
        <v>2642</v>
      </c>
      <c r="H510" s="5" t="s">
        <v>3846</v>
      </c>
      <c r="I510" s="5"/>
      <c r="J510" s="5"/>
      <c r="K510" s="5" t="s">
        <v>3105</v>
      </c>
      <c r="L510" s="5" t="s">
        <v>276</v>
      </c>
      <c r="M510" s="5" t="s">
        <v>851</v>
      </c>
    </row>
    <row r="511" spans="1:13" ht="50.1" customHeight="1" x14ac:dyDescent="0.2">
      <c r="A511" s="5" t="s">
        <v>3847</v>
      </c>
      <c r="B511" s="5" t="s">
        <v>2590</v>
      </c>
      <c r="C511" s="5" t="s">
        <v>3848</v>
      </c>
      <c r="D511" s="5" t="s">
        <v>3849</v>
      </c>
      <c r="E511" s="8">
        <v>1</v>
      </c>
      <c r="F511" s="5" t="s">
        <v>132</v>
      </c>
      <c r="G511" s="5" t="s">
        <v>2593</v>
      </c>
      <c r="H511" s="5" t="s">
        <v>138</v>
      </c>
      <c r="I511" s="5"/>
      <c r="J511" s="5"/>
      <c r="K511" s="5" t="s">
        <v>3105</v>
      </c>
      <c r="L511" s="5" t="s">
        <v>276</v>
      </c>
      <c r="M511" s="5" t="s">
        <v>851</v>
      </c>
    </row>
    <row r="512" spans="1:13" ht="50.1" customHeight="1" x14ac:dyDescent="0.2">
      <c r="A512" s="5" t="s">
        <v>3850</v>
      </c>
      <c r="B512" s="5" t="s">
        <v>2716</v>
      </c>
      <c r="C512" s="5" t="s">
        <v>3851</v>
      </c>
      <c r="D512" s="5" t="s">
        <v>3852</v>
      </c>
      <c r="E512" s="8">
        <v>1</v>
      </c>
      <c r="F512" s="5" t="s">
        <v>132</v>
      </c>
      <c r="G512" s="5" t="s">
        <v>2719</v>
      </c>
      <c r="H512" s="5" t="s">
        <v>139</v>
      </c>
      <c r="I512" s="5"/>
      <c r="J512" s="5"/>
      <c r="K512" s="5" t="s">
        <v>3105</v>
      </c>
      <c r="L512" s="5" t="s">
        <v>276</v>
      </c>
      <c r="M512" s="5" t="s">
        <v>851</v>
      </c>
    </row>
    <row r="513" spans="1:13" ht="50.1" customHeight="1" x14ac:dyDescent="0.2">
      <c r="A513" s="5" t="s">
        <v>3853</v>
      </c>
      <c r="B513" s="5" t="s">
        <v>2430</v>
      </c>
      <c r="C513" s="5" t="s">
        <v>3854</v>
      </c>
      <c r="D513" s="5" t="s">
        <v>3855</v>
      </c>
      <c r="E513" s="8">
        <v>1</v>
      </c>
      <c r="F513" s="5" t="s">
        <v>132</v>
      </c>
      <c r="G513" s="5" t="s">
        <v>2433</v>
      </c>
      <c r="H513" s="5" t="s">
        <v>137</v>
      </c>
      <c r="I513" s="5"/>
      <c r="J513" s="5"/>
      <c r="K513" s="5" t="s">
        <v>3105</v>
      </c>
      <c r="L513" s="5" t="s">
        <v>276</v>
      </c>
      <c r="M513" s="5" t="s">
        <v>851</v>
      </c>
    </row>
    <row r="514" spans="1:13" ht="50.1" customHeight="1" x14ac:dyDescent="0.2">
      <c r="A514" s="5" t="s">
        <v>3856</v>
      </c>
      <c r="B514" s="5" t="s">
        <v>2498</v>
      </c>
      <c r="C514" s="5" t="s">
        <v>3857</v>
      </c>
      <c r="D514" s="5" t="s">
        <v>3858</v>
      </c>
      <c r="E514" s="8">
        <v>1</v>
      </c>
      <c r="F514" s="5" t="s">
        <v>132</v>
      </c>
      <c r="G514" s="5" t="s">
        <v>2501</v>
      </c>
      <c r="H514" s="5" t="s">
        <v>3859</v>
      </c>
      <c r="I514" s="5"/>
      <c r="J514" s="5"/>
      <c r="K514" s="5" t="s">
        <v>3105</v>
      </c>
      <c r="L514" s="5" t="s">
        <v>276</v>
      </c>
      <c r="M514" s="5" t="s">
        <v>851</v>
      </c>
    </row>
    <row r="515" spans="1:13" ht="50.1" customHeight="1" x14ac:dyDescent="0.2">
      <c r="A515" s="5" t="s">
        <v>3860</v>
      </c>
      <c r="B515" s="5" t="s">
        <v>2498</v>
      </c>
      <c r="C515" s="5" t="s">
        <v>3861</v>
      </c>
      <c r="D515" s="5" t="s">
        <v>3862</v>
      </c>
      <c r="E515" s="8">
        <v>1</v>
      </c>
      <c r="F515" s="5" t="s">
        <v>132</v>
      </c>
      <c r="G515" s="5" t="s">
        <v>2501</v>
      </c>
      <c r="H515" s="5" t="s">
        <v>3863</v>
      </c>
      <c r="I515" s="5"/>
      <c r="J515" s="5"/>
      <c r="K515" s="5" t="s">
        <v>3105</v>
      </c>
      <c r="L515" s="5" t="s">
        <v>276</v>
      </c>
      <c r="M515" s="5" t="s">
        <v>851</v>
      </c>
    </row>
    <row r="516" spans="1:13" ht="50.1" customHeight="1" x14ac:dyDescent="0.2">
      <c r="A516" s="5" t="s">
        <v>3864</v>
      </c>
      <c r="B516" s="5" t="s">
        <v>2498</v>
      </c>
      <c r="C516" s="5" t="s">
        <v>3865</v>
      </c>
      <c r="D516" s="5" t="s">
        <v>3866</v>
      </c>
      <c r="E516" s="8">
        <v>1</v>
      </c>
      <c r="F516" s="5" t="s">
        <v>132</v>
      </c>
      <c r="G516" s="5" t="s">
        <v>2501</v>
      </c>
      <c r="H516" s="5" t="s">
        <v>3867</v>
      </c>
      <c r="I516" s="5"/>
      <c r="J516" s="5"/>
      <c r="K516" s="5" t="s">
        <v>3105</v>
      </c>
      <c r="L516" s="5" t="s">
        <v>276</v>
      </c>
      <c r="M516" s="5" t="s">
        <v>851</v>
      </c>
    </row>
    <row r="517" spans="1:13" ht="50.1" customHeight="1" x14ac:dyDescent="0.2">
      <c r="A517" s="5" t="s">
        <v>3868</v>
      </c>
      <c r="B517" s="5" t="s">
        <v>2371</v>
      </c>
      <c r="C517" s="5" t="s">
        <v>3869</v>
      </c>
      <c r="D517" s="5" t="s">
        <v>3870</v>
      </c>
      <c r="E517" s="8">
        <v>1</v>
      </c>
      <c r="F517" s="5" t="s">
        <v>142</v>
      </c>
      <c r="G517" s="5" t="s">
        <v>2374</v>
      </c>
      <c r="H517" s="5" t="s">
        <v>3871</v>
      </c>
      <c r="I517" s="5"/>
      <c r="J517" s="5"/>
      <c r="K517" s="5" t="s">
        <v>3105</v>
      </c>
      <c r="L517" s="5" t="s">
        <v>248</v>
      </c>
      <c r="M517" s="5" t="s">
        <v>3561</v>
      </c>
    </row>
    <row r="518" spans="1:13" ht="50.1" customHeight="1" x14ac:dyDescent="0.2">
      <c r="A518" s="5" t="s">
        <v>3872</v>
      </c>
      <c r="B518" s="5" t="s">
        <v>2788</v>
      </c>
      <c r="C518" s="5" t="s">
        <v>3873</v>
      </c>
      <c r="D518" s="5" t="s">
        <v>3874</v>
      </c>
      <c r="E518" s="8">
        <v>1</v>
      </c>
      <c r="F518" s="5" t="s">
        <v>142</v>
      </c>
      <c r="G518" s="5" t="s">
        <v>2791</v>
      </c>
      <c r="H518" s="5" t="s">
        <v>3875</v>
      </c>
      <c r="I518" s="5"/>
      <c r="J518" s="5"/>
      <c r="K518" s="5" t="s">
        <v>3105</v>
      </c>
      <c r="L518" s="5" t="s">
        <v>248</v>
      </c>
      <c r="M518" s="5" t="s">
        <v>3561</v>
      </c>
    </row>
    <row r="519" spans="1:13" ht="50.1" customHeight="1" x14ac:dyDescent="0.2">
      <c r="A519" s="5" t="s">
        <v>3876</v>
      </c>
      <c r="B519" s="5" t="s">
        <v>2894</v>
      </c>
      <c r="C519" s="5" t="s">
        <v>3877</v>
      </c>
      <c r="D519" s="5" t="s">
        <v>3878</v>
      </c>
      <c r="E519" s="8">
        <v>1</v>
      </c>
      <c r="F519" s="5" t="s">
        <v>142</v>
      </c>
      <c r="G519" s="5" t="s">
        <v>2897</v>
      </c>
      <c r="H519" s="5" t="s">
        <v>3879</v>
      </c>
      <c r="I519" s="5"/>
      <c r="J519" s="5"/>
      <c r="K519" s="5" t="s">
        <v>3105</v>
      </c>
      <c r="L519" s="5" t="s">
        <v>248</v>
      </c>
      <c r="M519" s="5" t="s">
        <v>3561</v>
      </c>
    </row>
    <row r="520" spans="1:13" ht="50.1" customHeight="1" x14ac:dyDescent="0.2">
      <c r="A520" s="5" t="s">
        <v>3880</v>
      </c>
      <c r="B520" s="5" t="s">
        <v>264</v>
      </c>
      <c r="C520" s="5" t="s">
        <v>3881</v>
      </c>
      <c r="D520" s="5" t="s">
        <v>3882</v>
      </c>
      <c r="E520" s="8">
        <v>1</v>
      </c>
      <c r="F520" s="5" t="s">
        <v>150</v>
      </c>
      <c r="G520" s="5" t="s">
        <v>1177</v>
      </c>
      <c r="H520" s="5" t="s">
        <v>3883</v>
      </c>
      <c r="I520" s="5"/>
      <c r="J520" s="5" t="s">
        <v>278</v>
      </c>
      <c r="K520" s="5" t="s">
        <v>3884</v>
      </c>
      <c r="L520" s="5" t="s">
        <v>276</v>
      </c>
      <c r="M520" s="5" t="s">
        <v>3561</v>
      </c>
    </row>
    <row r="521" spans="1:13" ht="50.1" customHeight="1" x14ac:dyDescent="0.2">
      <c r="A521" s="5" t="s">
        <v>3885</v>
      </c>
      <c r="B521" s="5" t="s">
        <v>264</v>
      </c>
      <c r="C521" s="5" t="s">
        <v>3886</v>
      </c>
      <c r="D521" s="5" t="s">
        <v>3887</v>
      </c>
      <c r="E521" s="8">
        <v>1</v>
      </c>
      <c r="F521" s="5" t="s">
        <v>150</v>
      </c>
      <c r="G521" s="5" t="s">
        <v>1177</v>
      </c>
      <c r="H521" s="5" t="s">
        <v>3888</v>
      </c>
      <c r="I521" s="5"/>
      <c r="J521" s="5" t="s">
        <v>278</v>
      </c>
      <c r="K521" s="5" t="s">
        <v>3884</v>
      </c>
      <c r="L521" s="5" t="s">
        <v>276</v>
      </c>
      <c r="M521" s="5" t="s">
        <v>3561</v>
      </c>
    </row>
    <row r="522" spans="1:13" ht="50.1" customHeight="1" x14ac:dyDescent="0.2">
      <c r="A522" s="5" t="s">
        <v>3889</v>
      </c>
      <c r="B522" s="5" t="s">
        <v>264</v>
      </c>
      <c r="C522" s="5" t="s">
        <v>3890</v>
      </c>
      <c r="D522" s="5" t="s">
        <v>3891</v>
      </c>
      <c r="E522" s="8">
        <v>1</v>
      </c>
      <c r="F522" s="5" t="s">
        <v>150</v>
      </c>
      <c r="G522" s="5" t="s">
        <v>1177</v>
      </c>
      <c r="H522" s="5" t="s">
        <v>3892</v>
      </c>
      <c r="I522" s="5"/>
      <c r="J522" s="5" t="s">
        <v>278</v>
      </c>
      <c r="K522" s="5" t="s">
        <v>3884</v>
      </c>
      <c r="L522" s="5" t="s">
        <v>276</v>
      </c>
      <c r="M522" s="5" t="s">
        <v>3561</v>
      </c>
    </row>
    <row r="523" spans="1:13" ht="50.1" customHeight="1" x14ac:dyDescent="0.2">
      <c r="A523" s="5" t="s">
        <v>3893</v>
      </c>
      <c r="B523" s="5" t="s">
        <v>264</v>
      </c>
      <c r="C523" s="5" t="s">
        <v>3894</v>
      </c>
      <c r="D523" s="5" t="s">
        <v>3895</v>
      </c>
      <c r="E523" s="8">
        <v>1</v>
      </c>
      <c r="F523" s="5" t="s">
        <v>150</v>
      </c>
      <c r="G523" s="5" t="s">
        <v>1177</v>
      </c>
      <c r="H523" s="5" t="s">
        <v>3896</v>
      </c>
      <c r="I523" s="5"/>
      <c r="J523" s="5" t="s">
        <v>278</v>
      </c>
      <c r="K523" s="5" t="s">
        <v>3884</v>
      </c>
      <c r="L523" s="5" t="s">
        <v>276</v>
      </c>
      <c r="M523" s="5" t="s">
        <v>3561</v>
      </c>
    </row>
    <row r="524" spans="1:13" ht="50.1" customHeight="1" x14ac:dyDescent="0.2">
      <c r="A524" s="5" t="s">
        <v>3897</v>
      </c>
      <c r="B524" s="5" t="s">
        <v>264</v>
      </c>
      <c r="C524" s="5" t="s">
        <v>3898</v>
      </c>
      <c r="D524" s="5" t="s">
        <v>3899</v>
      </c>
      <c r="E524" s="8">
        <v>1</v>
      </c>
      <c r="F524" s="5" t="s">
        <v>150</v>
      </c>
      <c r="G524" s="5" t="s">
        <v>856</v>
      </c>
      <c r="H524" s="5" t="s">
        <v>3897</v>
      </c>
      <c r="I524" s="5"/>
      <c r="J524" s="5" t="s">
        <v>278</v>
      </c>
      <c r="K524" s="5" t="s">
        <v>3884</v>
      </c>
      <c r="L524" s="5" t="s">
        <v>276</v>
      </c>
      <c r="M524" s="5" t="s">
        <v>3561</v>
      </c>
    </row>
    <row r="525" spans="1:13" ht="50.1" customHeight="1" x14ac:dyDescent="0.2">
      <c r="A525" s="5" t="s">
        <v>3900</v>
      </c>
      <c r="B525" s="5" t="s">
        <v>264</v>
      </c>
      <c r="C525" s="5" t="s">
        <v>3901</v>
      </c>
      <c r="D525" s="5" t="s">
        <v>3902</v>
      </c>
      <c r="E525" s="8">
        <v>1</v>
      </c>
      <c r="F525" s="5" t="s">
        <v>150</v>
      </c>
      <c r="G525" s="5" t="s">
        <v>856</v>
      </c>
      <c r="H525" s="5" t="s">
        <v>3900</v>
      </c>
      <c r="I525" s="5"/>
      <c r="J525" s="5" t="s">
        <v>278</v>
      </c>
      <c r="K525" s="5" t="s">
        <v>3884</v>
      </c>
      <c r="L525" s="5" t="s">
        <v>276</v>
      </c>
      <c r="M525" s="5" t="s">
        <v>3561</v>
      </c>
    </row>
    <row r="526" spans="1:13" ht="50.1" customHeight="1" x14ac:dyDescent="0.2">
      <c r="A526" s="5" t="s">
        <v>3903</v>
      </c>
      <c r="B526" s="5" t="s">
        <v>264</v>
      </c>
      <c r="C526" s="5" t="s">
        <v>3904</v>
      </c>
      <c r="D526" s="5" t="s">
        <v>3905</v>
      </c>
      <c r="E526" s="8">
        <v>1</v>
      </c>
      <c r="F526" s="5" t="s">
        <v>150</v>
      </c>
      <c r="G526" s="5" t="s">
        <v>856</v>
      </c>
      <c r="H526" s="5" t="s">
        <v>3903</v>
      </c>
      <c r="I526" s="5"/>
      <c r="J526" s="5" t="s">
        <v>278</v>
      </c>
      <c r="K526" s="5" t="s">
        <v>3884</v>
      </c>
      <c r="L526" s="5" t="s">
        <v>276</v>
      </c>
      <c r="M526" s="5" t="s">
        <v>3561</v>
      </c>
    </row>
    <row r="527" spans="1:13" ht="50.1" customHeight="1" x14ac:dyDescent="0.2">
      <c r="A527" s="5" t="s">
        <v>3906</v>
      </c>
      <c r="B527" s="5" t="s">
        <v>264</v>
      </c>
      <c r="C527" s="5" t="s">
        <v>3907</v>
      </c>
      <c r="D527" s="5" t="s">
        <v>3908</v>
      </c>
      <c r="E527" s="8">
        <v>1</v>
      </c>
      <c r="F527" s="5" t="s">
        <v>150</v>
      </c>
      <c r="G527" s="5" t="s">
        <v>2374</v>
      </c>
      <c r="H527" s="5" t="s">
        <v>3909</v>
      </c>
      <c r="I527" s="5"/>
      <c r="J527" s="5" t="s">
        <v>278</v>
      </c>
      <c r="K527" s="5" t="s">
        <v>3884</v>
      </c>
      <c r="L527" s="5" t="s">
        <v>276</v>
      </c>
      <c r="M527" s="5" t="s">
        <v>3561</v>
      </c>
    </row>
    <row r="528" spans="1:13" ht="50.1" customHeight="1" x14ac:dyDescent="0.2">
      <c r="A528" s="5" t="s">
        <v>3910</v>
      </c>
      <c r="B528" s="5" t="s">
        <v>264</v>
      </c>
      <c r="C528" s="5" t="s">
        <v>3911</v>
      </c>
      <c r="D528" s="5" t="s">
        <v>3912</v>
      </c>
      <c r="E528" s="8">
        <v>1</v>
      </c>
      <c r="F528" s="5" t="s">
        <v>150</v>
      </c>
      <c r="G528" s="5" t="s">
        <v>935</v>
      </c>
      <c r="H528" s="5" t="s">
        <v>3913</v>
      </c>
      <c r="I528" s="5"/>
      <c r="J528" s="5" t="s">
        <v>278</v>
      </c>
      <c r="K528" s="5" t="s">
        <v>3884</v>
      </c>
      <c r="L528" s="5" t="s">
        <v>276</v>
      </c>
      <c r="M528" s="5" t="s">
        <v>3561</v>
      </c>
    </row>
    <row r="529" spans="1:13" ht="50.1" customHeight="1" x14ac:dyDescent="0.2">
      <c r="A529" s="5" t="s">
        <v>3910</v>
      </c>
      <c r="B529" s="5" t="s">
        <v>264</v>
      </c>
      <c r="C529" s="5" t="s">
        <v>3914</v>
      </c>
      <c r="D529" s="5" t="s">
        <v>3915</v>
      </c>
      <c r="E529" s="8">
        <v>1</v>
      </c>
      <c r="F529" s="5" t="s">
        <v>150</v>
      </c>
      <c r="G529" s="5" t="s">
        <v>1350</v>
      </c>
      <c r="H529" s="5" t="s">
        <v>3916</v>
      </c>
      <c r="I529" s="5"/>
      <c r="J529" s="5" t="s">
        <v>278</v>
      </c>
      <c r="K529" s="5" t="s">
        <v>3884</v>
      </c>
      <c r="L529" s="5" t="s">
        <v>276</v>
      </c>
      <c r="M529" s="5" t="s">
        <v>3561</v>
      </c>
    </row>
    <row r="530" spans="1:13" ht="50.1" customHeight="1" x14ac:dyDescent="0.2">
      <c r="A530" s="5" t="s">
        <v>3917</v>
      </c>
      <c r="B530" s="5" t="s">
        <v>264</v>
      </c>
      <c r="C530" s="5" t="s">
        <v>3918</v>
      </c>
      <c r="D530" s="5" t="s">
        <v>3919</v>
      </c>
      <c r="E530" s="8">
        <v>1</v>
      </c>
      <c r="F530" s="5" t="s">
        <v>150</v>
      </c>
      <c r="G530" s="5" t="s">
        <v>935</v>
      </c>
      <c r="H530" s="5" t="s">
        <v>3920</v>
      </c>
      <c r="I530" s="5"/>
      <c r="J530" s="5" t="s">
        <v>278</v>
      </c>
      <c r="K530" s="5" t="s">
        <v>3884</v>
      </c>
      <c r="L530" s="5" t="s">
        <v>276</v>
      </c>
      <c r="M530" s="5" t="s">
        <v>3561</v>
      </c>
    </row>
    <row r="531" spans="1:13" ht="50.1" customHeight="1" x14ac:dyDescent="0.2">
      <c r="A531" s="5" t="s">
        <v>3917</v>
      </c>
      <c r="B531" s="5" t="s">
        <v>264</v>
      </c>
      <c r="C531" s="5" t="s">
        <v>3921</v>
      </c>
      <c r="D531" s="5" t="s">
        <v>3922</v>
      </c>
      <c r="E531" s="8">
        <v>1</v>
      </c>
      <c r="F531" s="5" t="s">
        <v>150</v>
      </c>
      <c r="G531" s="5" t="s">
        <v>1350</v>
      </c>
      <c r="H531" s="5" t="s">
        <v>3923</v>
      </c>
      <c r="I531" s="5"/>
      <c r="J531" s="5" t="s">
        <v>278</v>
      </c>
      <c r="K531" s="5" t="s">
        <v>3884</v>
      </c>
      <c r="L531" s="5" t="s">
        <v>276</v>
      </c>
      <c r="M531" s="5" t="s">
        <v>3561</v>
      </c>
    </row>
    <row r="532" spans="1:13" ht="50.1" customHeight="1" x14ac:dyDescent="0.2">
      <c r="A532" s="5" t="s">
        <v>3924</v>
      </c>
      <c r="B532" s="5" t="s">
        <v>264</v>
      </c>
      <c r="C532" s="5" t="s">
        <v>3925</v>
      </c>
      <c r="D532" s="5" t="s">
        <v>3926</v>
      </c>
      <c r="E532" s="8">
        <v>1</v>
      </c>
      <c r="F532" s="5" t="s">
        <v>150</v>
      </c>
      <c r="G532" s="5" t="s">
        <v>935</v>
      </c>
      <c r="H532" s="5" t="s">
        <v>3927</v>
      </c>
      <c r="I532" s="5"/>
      <c r="J532" s="5" t="s">
        <v>278</v>
      </c>
      <c r="K532" s="5" t="s">
        <v>3884</v>
      </c>
      <c r="L532" s="5" t="s">
        <v>276</v>
      </c>
      <c r="M532" s="5" t="s">
        <v>3561</v>
      </c>
    </row>
    <row r="533" spans="1:13" ht="50.1" customHeight="1" x14ac:dyDescent="0.2">
      <c r="A533" s="5" t="s">
        <v>3924</v>
      </c>
      <c r="B533" s="5" t="s">
        <v>264</v>
      </c>
      <c r="C533" s="5" t="s">
        <v>3928</v>
      </c>
      <c r="D533" s="5" t="s">
        <v>3929</v>
      </c>
      <c r="E533" s="8">
        <v>1</v>
      </c>
      <c r="F533" s="5" t="s">
        <v>150</v>
      </c>
      <c r="G533" s="5" t="s">
        <v>1350</v>
      </c>
      <c r="H533" s="5" t="s">
        <v>3930</v>
      </c>
      <c r="I533" s="5"/>
      <c r="J533" s="5" t="s">
        <v>278</v>
      </c>
      <c r="K533" s="5" t="s">
        <v>3884</v>
      </c>
      <c r="L533" s="5" t="s">
        <v>276</v>
      </c>
      <c r="M533" s="5" t="s">
        <v>3561</v>
      </c>
    </row>
    <row r="534" spans="1:13" ht="50.1" customHeight="1" x14ac:dyDescent="0.2">
      <c r="A534" s="5" t="s">
        <v>3931</v>
      </c>
      <c r="B534" s="5" t="s">
        <v>264</v>
      </c>
      <c r="C534" s="5" t="s">
        <v>3932</v>
      </c>
      <c r="D534" s="5" t="s">
        <v>3933</v>
      </c>
      <c r="E534" s="8">
        <v>1</v>
      </c>
      <c r="F534" s="5" t="s">
        <v>150</v>
      </c>
      <c r="G534" s="5" t="s">
        <v>935</v>
      </c>
      <c r="H534" s="5" t="s">
        <v>3934</v>
      </c>
      <c r="I534" s="5"/>
      <c r="J534" s="5" t="s">
        <v>278</v>
      </c>
      <c r="K534" s="5" t="s">
        <v>3884</v>
      </c>
      <c r="L534" s="5" t="s">
        <v>276</v>
      </c>
      <c r="M534" s="5" t="s">
        <v>3561</v>
      </c>
    </row>
    <row r="535" spans="1:13" ht="50.1" customHeight="1" x14ac:dyDescent="0.2">
      <c r="A535" s="5" t="s">
        <v>3931</v>
      </c>
      <c r="B535" s="5" t="s">
        <v>264</v>
      </c>
      <c r="C535" s="5" t="s">
        <v>3935</v>
      </c>
      <c r="D535" s="5" t="s">
        <v>3936</v>
      </c>
      <c r="E535" s="8">
        <v>1</v>
      </c>
      <c r="F535" s="5" t="s">
        <v>150</v>
      </c>
      <c r="G535" s="5" t="s">
        <v>1350</v>
      </c>
      <c r="H535" s="5" t="s">
        <v>3937</v>
      </c>
      <c r="I535" s="5"/>
      <c r="J535" s="5" t="s">
        <v>278</v>
      </c>
      <c r="K535" s="5" t="s">
        <v>3884</v>
      </c>
      <c r="L535" s="5" t="s">
        <v>276</v>
      </c>
      <c r="M535" s="5" t="s">
        <v>3561</v>
      </c>
    </row>
    <row r="536" spans="1:13" ht="50.1" customHeight="1" x14ac:dyDescent="0.2">
      <c r="A536" s="5" t="s">
        <v>3938</v>
      </c>
      <c r="B536" s="5" t="s">
        <v>264</v>
      </c>
      <c r="C536" s="5" t="s">
        <v>3939</v>
      </c>
      <c r="D536" s="5" t="s">
        <v>3940</v>
      </c>
      <c r="E536" s="8">
        <v>1</v>
      </c>
      <c r="F536" s="5" t="s">
        <v>150</v>
      </c>
      <c r="G536" s="5" t="s">
        <v>935</v>
      </c>
      <c r="H536" s="5" t="s">
        <v>3941</v>
      </c>
      <c r="I536" s="5"/>
      <c r="J536" s="5" t="s">
        <v>278</v>
      </c>
      <c r="K536" s="5" t="s">
        <v>3884</v>
      </c>
      <c r="L536" s="5" t="s">
        <v>276</v>
      </c>
      <c r="M536" s="5" t="s">
        <v>3561</v>
      </c>
    </row>
    <row r="537" spans="1:13" ht="50.1" customHeight="1" x14ac:dyDescent="0.2">
      <c r="A537" s="5" t="s">
        <v>3938</v>
      </c>
      <c r="B537" s="5" t="s">
        <v>264</v>
      </c>
      <c r="C537" s="5" t="s">
        <v>3942</v>
      </c>
      <c r="D537" s="5" t="s">
        <v>3943</v>
      </c>
      <c r="E537" s="8">
        <v>1</v>
      </c>
      <c r="F537" s="5" t="s">
        <v>150</v>
      </c>
      <c r="G537" s="5" t="s">
        <v>1350</v>
      </c>
      <c r="H537" s="5" t="s">
        <v>3944</v>
      </c>
      <c r="I537" s="5"/>
      <c r="J537" s="5" t="s">
        <v>278</v>
      </c>
      <c r="K537" s="5" t="s">
        <v>3884</v>
      </c>
      <c r="L537" s="5" t="s">
        <v>276</v>
      </c>
      <c r="M537" s="5" t="s">
        <v>3561</v>
      </c>
    </row>
    <row r="538" spans="1:13" ht="50.1" customHeight="1" x14ac:dyDescent="0.2">
      <c r="A538" s="5" t="s">
        <v>3945</v>
      </c>
      <c r="B538" s="5" t="s">
        <v>264</v>
      </c>
      <c r="C538" s="5" t="s">
        <v>3946</v>
      </c>
      <c r="D538" s="5" t="s">
        <v>3947</v>
      </c>
      <c r="E538" s="8">
        <v>1</v>
      </c>
      <c r="F538" s="5" t="s">
        <v>150</v>
      </c>
      <c r="G538" s="5" t="s">
        <v>935</v>
      </c>
      <c r="H538" s="5" t="s">
        <v>3948</v>
      </c>
      <c r="I538" s="5"/>
      <c r="J538" s="5" t="s">
        <v>278</v>
      </c>
      <c r="K538" s="5" t="s">
        <v>3884</v>
      </c>
      <c r="L538" s="5" t="s">
        <v>276</v>
      </c>
      <c r="M538" s="5" t="s">
        <v>3561</v>
      </c>
    </row>
    <row r="539" spans="1:13" ht="50.1" customHeight="1" x14ac:dyDescent="0.2">
      <c r="A539" s="5" t="s">
        <v>3945</v>
      </c>
      <c r="B539" s="5" t="s">
        <v>264</v>
      </c>
      <c r="C539" s="5" t="s">
        <v>3949</v>
      </c>
      <c r="D539" s="5" t="s">
        <v>3950</v>
      </c>
      <c r="E539" s="8">
        <v>1</v>
      </c>
      <c r="F539" s="5" t="s">
        <v>150</v>
      </c>
      <c r="G539" s="5" t="s">
        <v>1350</v>
      </c>
      <c r="H539" s="5" t="s">
        <v>3951</v>
      </c>
      <c r="I539" s="5"/>
      <c r="J539" s="5" t="s">
        <v>278</v>
      </c>
      <c r="K539" s="5" t="s">
        <v>3884</v>
      </c>
      <c r="L539" s="5" t="s">
        <v>276</v>
      </c>
      <c r="M539" s="5" t="s">
        <v>3561</v>
      </c>
    </row>
    <row r="540" spans="1:13" ht="50.1" customHeight="1" x14ac:dyDescent="0.2">
      <c r="A540" s="5" t="s">
        <v>3952</v>
      </c>
      <c r="B540" s="5" t="s">
        <v>264</v>
      </c>
      <c r="C540" s="5" t="s">
        <v>3953</v>
      </c>
      <c r="D540" s="5" t="s">
        <v>3954</v>
      </c>
      <c r="E540" s="8">
        <v>1</v>
      </c>
      <c r="F540" s="5" t="s">
        <v>150</v>
      </c>
      <c r="G540" s="5" t="s">
        <v>935</v>
      </c>
      <c r="H540" s="5" t="s">
        <v>3955</v>
      </c>
      <c r="I540" s="5"/>
      <c r="J540" s="5" t="s">
        <v>278</v>
      </c>
      <c r="K540" s="5" t="s">
        <v>3884</v>
      </c>
      <c r="L540" s="5" t="s">
        <v>276</v>
      </c>
      <c r="M540" s="5" t="s">
        <v>3561</v>
      </c>
    </row>
    <row r="541" spans="1:13" ht="50.1" customHeight="1" x14ac:dyDescent="0.2">
      <c r="A541" s="5" t="s">
        <v>3952</v>
      </c>
      <c r="B541" s="5" t="s">
        <v>264</v>
      </c>
      <c r="C541" s="5" t="s">
        <v>3956</v>
      </c>
      <c r="D541" s="5" t="s">
        <v>3957</v>
      </c>
      <c r="E541" s="8">
        <v>1</v>
      </c>
      <c r="F541" s="5" t="s">
        <v>150</v>
      </c>
      <c r="G541" s="5" t="s">
        <v>1350</v>
      </c>
      <c r="H541" s="5" t="s">
        <v>3958</v>
      </c>
      <c r="I541" s="5"/>
      <c r="J541" s="5" t="s">
        <v>278</v>
      </c>
      <c r="K541" s="5" t="s">
        <v>3884</v>
      </c>
      <c r="L541" s="5" t="s">
        <v>276</v>
      </c>
      <c r="M541" s="5" t="s">
        <v>3561</v>
      </c>
    </row>
    <row r="542" spans="1:13" ht="50.1" customHeight="1" x14ac:dyDescent="0.2">
      <c r="A542" s="5" t="s">
        <v>3959</v>
      </c>
      <c r="B542" s="5" t="s">
        <v>264</v>
      </c>
      <c r="C542" s="5" t="s">
        <v>3960</v>
      </c>
      <c r="D542" s="5" t="s">
        <v>3961</v>
      </c>
      <c r="E542" s="8">
        <v>1</v>
      </c>
      <c r="F542" s="5" t="s">
        <v>150</v>
      </c>
      <c r="G542" s="5" t="s">
        <v>935</v>
      </c>
      <c r="H542" s="5" t="s">
        <v>3962</v>
      </c>
      <c r="I542" s="5"/>
      <c r="J542" s="5" t="s">
        <v>278</v>
      </c>
      <c r="K542" s="5" t="s">
        <v>3884</v>
      </c>
      <c r="L542" s="5" t="s">
        <v>276</v>
      </c>
      <c r="M542" s="5" t="s">
        <v>3561</v>
      </c>
    </row>
    <row r="543" spans="1:13" ht="50.1" customHeight="1" x14ac:dyDescent="0.2">
      <c r="A543" s="5" t="s">
        <v>3959</v>
      </c>
      <c r="B543" s="5" t="s">
        <v>264</v>
      </c>
      <c r="C543" s="5" t="s">
        <v>3963</v>
      </c>
      <c r="D543" s="5" t="s">
        <v>3964</v>
      </c>
      <c r="E543" s="8">
        <v>1</v>
      </c>
      <c r="F543" s="5" t="s">
        <v>150</v>
      </c>
      <c r="G543" s="5" t="s">
        <v>1350</v>
      </c>
      <c r="H543" s="5" t="s">
        <v>3965</v>
      </c>
      <c r="I543" s="5"/>
      <c r="J543" s="5" t="s">
        <v>278</v>
      </c>
      <c r="K543" s="5" t="s">
        <v>3884</v>
      </c>
      <c r="L543" s="5" t="s">
        <v>276</v>
      </c>
      <c r="M543" s="5" t="s">
        <v>3561</v>
      </c>
    </row>
    <row r="544" spans="1:13" ht="50.1" customHeight="1" x14ac:dyDescent="0.2">
      <c r="A544" s="5" t="s">
        <v>3966</v>
      </c>
      <c r="B544" s="5" t="s">
        <v>264</v>
      </c>
      <c r="C544" s="5" t="s">
        <v>3967</v>
      </c>
      <c r="D544" s="5" t="s">
        <v>3968</v>
      </c>
      <c r="E544" s="8">
        <v>1</v>
      </c>
      <c r="F544" s="5" t="s">
        <v>150</v>
      </c>
      <c r="G544" s="5" t="s">
        <v>935</v>
      </c>
      <c r="H544" s="5" t="s">
        <v>3969</v>
      </c>
      <c r="I544" s="5"/>
      <c r="J544" s="5" t="s">
        <v>278</v>
      </c>
      <c r="K544" s="5" t="s">
        <v>3884</v>
      </c>
      <c r="L544" s="5" t="s">
        <v>276</v>
      </c>
      <c r="M544" s="5" t="s">
        <v>3561</v>
      </c>
    </row>
    <row r="545" spans="1:13" ht="50.1" customHeight="1" x14ac:dyDescent="0.2">
      <c r="A545" s="5" t="s">
        <v>3966</v>
      </c>
      <c r="B545" s="5" t="s">
        <v>264</v>
      </c>
      <c r="C545" s="5" t="s">
        <v>3970</v>
      </c>
      <c r="D545" s="5" t="s">
        <v>3971</v>
      </c>
      <c r="E545" s="8">
        <v>1</v>
      </c>
      <c r="F545" s="5" t="s">
        <v>150</v>
      </c>
      <c r="G545" s="5" t="s">
        <v>1350</v>
      </c>
      <c r="H545" s="5" t="s">
        <v>3972</v>
      </c>
      <c r="I545" s="5"/>
      <c r="J545" s="5" t="s">
        <v>278</v>
      </c>
      <c r="K545" s="5" t="s">
        <v>3884</v>
      </c>
      <c r="L545" s="5" t="s">
        <v>276</v>
      </c>
      <c r="M545" s="5" t="s">
        <v>3561</v>
      </c>
    </row>
    <row r="546" spans="1:13" ht="50.1" customHeight="1" x14ac:dyDescent="0.2">
      <c r="A546" s="5" t="s">
        <v>3973</v>
      </c>
      <c r="B546" s="5" t="s">
        <v>264</v>
      </c>
      <c r="C546" s="5" t="s">
        <v>3974</v>
      </c>
      <c r="D546" s="5" t="s">
        <v>3975</v>
      </c>
      <c r="E546" s="8">
        <v>1</v>
      </c>
      <c r="F546" s="5" t="s">
        <v>150</v>
      </c>
      <c r="G546" s="5" t="s">
        <v>935</v>
      </c>
      <c r="H546" s="5" t="s">
        <v>3976</v>
      </c>
      <c r="I546" s="5"/>
      <c r="J546" s="5" t="s">
        <v>278</v>
      </c>
      <c r="K546" s="5" t="s">
        <v>3884</v>
      </c>
      <c r="L546" s="5" t="s">
        <v>276</v>
      </c>
      <c r="M546" s="5" t="s">
        <v>3561</v>
      </c>
    </row>
    <row r="547" spans="1:13" ht="50.1" customHeight="1" x14ac:dyDescent="0.2">
      <c r="A547" s="5" t="s">
        <v>3973</v>
      </c>
      <c r="B547" s="5" t="s">
        <v>264</v>
      </c>
      <c r="C547" s="5" t="s">
        <v>3977</v>
      </c>
      <c r="D547" s="5" t="s">
        <v>3978</v>
      </c>
      <c r="E547" s="8">
        <v>1</v>
      </c>
      <c r="F547" s="5" t="s">
        <v>150</v>
      </c>
      <c r="G547" s="5" t="s">
        <v>1350</v>
      </c>
      <c r="H547" s="5" t="s">
        <v>3979</v>
      </c>
      <c r="I547" s="5"/>
      <c r="J547" s="5" t="s">
        <v>278</v>
      </c>
      <c r="K547" s="5" t="s">
        <v>3884</v>
      </c>
      <c r="L547" s="5" t="s">
        <v>276</v>
      </c>
      <c r="M547" s="5" t="s">
        <v>3561</v>
      </c>
    </row>
    <row r="548" spans="1:13" ht="50.1" customHeight="1" x14ac:dyDescent="0.2">
      <c r="A548" s="5" t="s">
        <v>3980</v>
      </c>
      <c r="B548" s="5" t="s">
        <v>264</v>
      </c>
      <c r="C548" s="5" t="s">
        <v>3981</v>
      </c>
      <c r="D548" s="5" t="s">
        <v>3982</v>
      </c>
      <c r="E548" s="8">
        <v>1</v>
      </c>
      <c r="F548" s="5" t="s">
        <v>150</v>
      </c>
      <c r="G548" s="5" t="s">
        <v>935</v>
      </c>
      <c r="H548" s="5" t="s">
        <v>3983</v>
      </c>
      <c r="I548" s="5"/>
      <c r="J548" s="5" t="s">
        <v>278</v>
      </c>
      <c r="K548" s="5" t="s">
        <v>3884</v>
      </c>
      <c r="L548" s="5" t="s">
        <v>276</v>
      </c>
      <c r="M548" s="5" t="s">
        <v>3561</v>
      </c>
    </row>
    <row r="549" spans="1:13" ht="50.1" customHeight="1" x14ac:dyDescent="0.2">
      <c r="A549" s="5" t="s">
        <v>3980</v>
      </c>
      <c r="B549" s="5" t="s">
        <v>264</v>
      </c>
      <c r="C549" s="5" t="s">
        <v>3984</v>
      </c>
      <c r="D549" s="5" t="s">
        <v>3985</v>
      </c>
      <c r="E549" s="8">
        <v>1</v>
      </c>
      <c r="F549" s="5" t="s">
        <v>150</v>
      </c>
      <c r="G549" s="5" t="s">
        <v>1350</v>
      </c>
      <c r="H549" s="5" t="s">
        <v>3986</v>
      </c>
      <c r="I549" s="5"/>
      <c r="J549" s="5" t="s">
        <v>278</v>
      </c>
      <c r="K549" s="5" t="s">
        <v>3884</v>
      </c>
      <c r="L549" s="5" t="s">
        <v>276</v>
      </c>
      <c r="M549" s="5" t="s">
        <v>3561</v>
      </c>
    </row>
    <row r="550" spans="1:13" ht="50.1" customHeight="1" x14ac:dyDescent="0.2">
      <c r="A550" s="5" t="s">
        <v>3987</v>
      </c>
      <c r="B550" s="5" t="s">
        <v>264</v>
      </c>
      <c r="C550" s="5" t="s">
        <v>3988</v>
      </c>
      <c r="D550" s="5" t="s">
        <v>3989</v>
      </c>
      <c r="E550" s="8">
        <v>1</v>
      </c>
      <c r="F550" s="5" t="s">
        <v>150</v>
      </c>
      <c r="G550" s="5" t="s">
        <v>935</v>
      </c>
      <c r="H550" s="5" t="s">
        <v>3990</v>
      </c>
      <c r="I550" s="5"/>
      <c r="J550" s="5" t="s">
        <v>278</v>
      </c>
      <c r="K550" s="5" t="s">
        <v>3884</v>
      </c>
      <c r="L550" s="5" t="s">
        <v>276</v>
      </c>
      <c r="M550" s="5" t="s">
        <v>3561</v>
      </c>
    </row>
    <row r="551" spans="1:13" ht="50.1" customHeight="1" x14ac:dyDescent="0.2">
      <c r="A551" s="5" t="s">
        <v>3987</v>
      </c>
      <c r="B551" s="5" t="s">
        <v>264</v>
      </c>
      <c r="C551" s="5" t="s">
        <v>3991</v>
      </c>
      <c r="D551" s="5" t="s">
        <v>3992</v>
      </c>
      <c r="E551" s="8">
        <v>1</v>
      </c>
      <c r="F551" s="5" t="s">
        <v>150</v>
      </c>
      <c r="G551" s="5" t="s">
        <v>1350</v>
      </c>
      <c r="H551" s="5" t="s">
        <v>3993</v>
      </c>
      <c r="I551" s="5"/>
      <c r="J551" s="5" t="s">
        <v>278</v>
      </c>
      <c r="K551" s="5" t="s">
        <v>3884</v>
      </c>
      <c r="L551" s="5" t="s">
        <v>276</v>
      </c>
      <c r="M551" s="5" t="s">
        <v>3561</v>
      </c>
    </row>
    <row r="552" spans="1:13" ht="50.1" customHeight="1" x14ac:dyDescent="0.2">
      <c r="A552" s="5" t="s">
        <v>3994</v>
      </c>
      <c r="B552" s="5" t="s">
        <v>264</v>
      </c>
      <c r="C552" s="5" t="s">
        <v>3995</v>
      </c>
      <c r="D552" s="5" t="s">
        <v>3996</v>
      </c>
      <c r="E552" s="8">
        <v>1</v>
      </c>
      <c r="F552" s="5" t="s">
        <v>150</v>
      </c>
      <c r="G552" s="5" t="s">
        <v>1097</v>
      </c>
      <c r="H552" s="5" t="s">
        <v>3997</v>
      </c>
      <c r="I552" s="5"/>
      <c r="J552" s="5" t="s">
        <v>278</v>
      </c>
      <c r="K552" s="5" t="s">
        <v>3884</v>
      </c>
      <c r="L552" s="5" t="s">
        <v>276</v>
      </c>
      <c r="M552" s="5" t="s">
        <v>3561</v>
      </c>
    </row>
    <row r="553" spans="1:13" ht="50.1" customHeight="1" x14ac:dyDescent="0.2">
      <c r="A553" s="5" t="s">
        <v>3998</v>
      </c>
      <c r="B553" s="5" t="s">
        <v>264</v>
      </c>
      <c r="C553" s="5" t="s">
        <v>3999</v>
      </c>
      <c r="D553" s="5" t="s">
        <v>4000</v>
      </c>
      <c r="E553" s="8">
        <v>1</v>
      </c>
      <c r="F553" s="5" t="s">
        <v>150</v>
      </c>
      <c r="G553" s="5" t="s">
        <v>1097</v>
      </c>
      <c r="H553" s="5" t="s">
        <v>4001</v>
      </c>
      <c r="I553" s="5"/>
      <c r="J553" s="5" t="s">
        <v>278</v>
      </c>
      <c r="K553" s="5" t="s">
        <v>3884</v>
      </c>
      <c r="L553" s="5" t="s">
        <v>276</v>
      </c>
      <c r="M553" s="5" t="s">
        <v>3561</v>
      </c>
    </row>
    <row r="554" spans="1:13" ht="50.1" customHeight="1" x14ac:dyDescent="0.2">
      <c r="A554" s="5" t="s">
        <v>3539</v>
      </c>
      <c r="B554" s="5" t="s">
        <v>264</v>
      </c>
      <c r="C554" s="5" t="s">
        <v>4002</v>
      </c>
      <c r="D554" s="5" t="s">
        <v>4003</v>
      </c>
      <c r="E554" s="8">
        <v>1</v>
      </c>
      <c r="F554" s="5" t="s">
        <v>150</v>
      </c>
      <c r="G554" s="5" t="s">
        <v>1097</v>
      </c>
      <c r="H554" s="5" t="s">
        <v>4004</v>
      </c>
      <c r="I554" s="5"/>
      <c r="J554" s="5" t="s">
        <v>278</v>
      </c>
      <c r="K554" s="5" t="s">
        <v>3884</v>
      </c>
      <c r="L554" s="5" t="s">
        <v>276</v>
      </c>
      <c r="M554" s="5" t="s">
        <v>3561</v>
      </c>
    </row>
    <row r="555" spans="1:13" ht="50.1" customHeight="1" x14ac:dyDescent="0.2">
      <c r="A555" s="5" t="s">
        <v>4005</v>
      </c>
      <c r="B555" s="5" t="s">
        <v>264</v>
      </c>
      <c r="C555" s="5" t="s">
        <v>4006</v>
      </c>
      <c r="D555" s="5" t="s">
        <v>4007</v>
      </c>
      <c r="E555" s="8">
        <v>1</v>
      </c>
      <c r="F555" s="5" t="s">
        <v>150</v>
      </c>
      <c r="G555" s="5" t="s">
        <v>1097</v>
      </c>
      <c r="H555" s="5" t="s">
        <v>4008</v>
      </c>
      <c r="I555" s="5"/>
      <c r="J555" s="5" t="s">
        <v>278</v>
      </c>
      <c r="K555" s="5" t="s">
        <v>3884</v>
      </c>
      <c r="L555" s="5" t="s">
        <v>276</v>
      </c>
      <c r="M555" s="5" t="s">
        <v>3561</v>
      </c>
    </row>
    <row r="556" spans="1:13" ht="50.1" customHeight="1" x14ac:dyDescent="0.2">
      <c r="A556" s="5" t="s">
        <v>4009</v>
      </c>
      <c r="B556" s="5" t="s">
        <v>264</v>
      </c>
      <c r="C556" s="5" t="s">
        <v>4010</v>
      </c>
      <c r="D556" s="5" t="s">
        <v>4011</v>
      </c>
      <c r="E556" s="8">
        <v>1</v>
      </c>
      <c r="F556" s="5" t="s">
        <v>150</v>
      </c>
      <c r="G556" s="5" t="s">
        <v>1097</v>
      </c>
      <c r="H556" s="5" t="s">
        <v>4012</v>
      </c>
      <c r="I556" s="5"/>
      <c r="J556" s="5" t="s">
        <v>278</v>
      </c>
      <c r="K556" s="5" t="s">
        <v>3884</v>
      </c>
      <c r="L556" s="5" t="s">
        <v>276</v>
      </c>
      <c r="M556" s="5" t="s">
        <v>3561</v>
      </c>
    </row>
    <row r="557" spans="1:13" ht="50.1" customHeight="1" x14ac:dyDescent="0.2">
      <c r="A557" s="5" t="s">
        <v>4013</v>
      </c>
      <c r="B557" s="5" t="s">
        <v>264</v>
      </c>
      <c r="C557" s="5" t="s">
        <v>4014</v>
      </c>
      <c r="D557" s="5" t="s">
        <v>4015</v>
      </c>
      <c r="E557" s="8">
        <v>1</v>
      </c>
      <c r="F557" s="5" t="s">
        <v>150</v>
      </c>
      <c r="G557" s="5" t="s">
        <v>1097</v>
      </c>
      <c r="H557" s="5" t="s">
        <v>4016</v>
      </c>
      <c r="I557" s="5"/>
      <c r="J557" s="5" t="s">
        <v>278</v>
      </c>
      <c r="K557" s="5" t="s">
        <v>3884</v>
      </c>
      <c r="L557" s="5" t="s">
        <v>276</v>
      </c>
      <c r="M557" s="5" t="s">
        <v>3561</v>
      </c>
    </row>
    <row r="558" spans="1:13" ht="50.1" customHeight="1" x14ac:dyDescent="0.2">
      <c r="A558" s="5" t="s">
        <v>4017</v>
      </c>
      <c r="B558" s="5" t="s">
        <v>264</v>
      </c>
      <c r="C558" s="5" t="s">
        <v>4018</v>
      </c>
      <c r="D558" s="5" t="s">
        <v>4019</v>
      </c>
      <c r="E558" s="8">
        <v>1</v>
      </c>
      <c r="F558" s="5" t="s">
        <v>150</v>
      </c>
      <c r="G558" s="5" t="s">
        <v>1016</v>
      </c>
      <c r="H558" s="5" t="s">
        <v>4020</v>
      </c>
      <c r="I558" s="5"/>
      <c r="J558" s="5" t="s">
        <v>278</v>
      </c>
      <c r="K558" s="5" t="s">
        <v>3884</v>
      </c>
      <c r="L558" s="5" t="s">
        <v>276</v>
      </c>
      <c r="M558" s="5" t="s">
        <v>3561</v>
      </c>
    </row>
    <row r="559" spans="1:13" ht="50.1" customHeight="1" x14ac:dyDescent="0.2">
      <c r="A559" s="5" t="s">
        <v>4021</v>
      </c>
      <c r="B559" s="5" t="s">
        <v>264</v>
      </c>
      <c r="C559" s="5" t="s">
        <v>4022</v>
      </c>
      <c r="D559" s="5" t="s">
        <v>4023</v>
      </c>
      <c r="E559" s="8">
        <v>1</v>
      </c>
      <c r="F559" s="5" t="s">
        <v>150</v>
      </c>
      <c r="G559" s="5" t="s">
        <v>1097</v>
      </c>
      <c r="H559" s="5" t="s">
        <v>4024</v>
      </c>
      <c r="I559" s="5"/>
      <c r="J559" s="5" t="s">
        <v>278</v>
      </c>
      <c r="K559" s="5" t="s">
        <v>3884</v>
      </c>
      <c r="L559" s="5" t="s">
        <v>276</v>
      </c>
      <c r="M559" s="5" t="s">
        <v>3561</v>
      </c>
    </row>
    <row r="560" spans="1:13" ht="50.1" customHeight="1" x14ac:dyDescent="0.2">
      <c r="A560" s="5" t="s">
        <v>4025</v>
      </c>
      <c r="B560" s="5" t="s">
        <v>264</v>
      </c>
      <c r="C560" s="5" t="s">
        <v>4026</v>
      </c>
      <c r="D560" s="5" t="s">
        <v>4027</v>
      </c>
      <c r="E560" s="8">
        <v>1</v>
      </c>
      <c r="F560" s="5" t="s">
        <v>150</v>
      </c>
      <c r="G560" s="5" t="s">
        <v>1016</v>
      </c>
      <c r="H560" s="5" t="s">
        <v>4028</v>
      </c>
      <c r="I560" s="5"/>
      <c r="J560" s="5" t="s">
        <v>278</v>
      </c>
      <c r="K560" s="5" t="s">
        <v>3884</v>
      </c>
      <c r="L560" s="5" t="s">
        <v>276</v>
      </c>
      <c r="M560" s="5" t="s">
        <v>3561</v>
      </c>
    </row>
    <row r="561" spans="1:13" ht="50.1" customHeight="1" x14ac:dyDescent="0.2">
      <c r="A561" s="5" t="s">
        <v>4029</v>
      </c>
      <c r="B561" s="5" t="s">
        <v>264</v>
      </c>
      <c r="C561" s="5" t="s">
        <v>4030</v>
      </c>
      <c r="D561" s="5" t="s">
        <v>4031</v>
      </c>
      <c r="E561" s="8">
        <v>1</v>
      </c>
      <c r="F561" s="5" t="s">
        <v>150</v>
      </c>
      <c r="G561" s="5" t="s">
        <v>1097</v>
      </c>
      <c r="H561" s="5" t="s">
        <v>4032</v>
      </c>
      <c r="I561" s="5"/>
      <c r="J561" s="5" t="s">
        <v>278</v>
      </c>
      <c r="K561" s="5" t="s">
        <v>3884</v>
      </c>
      <c r="L561" s="5" t="s">
        <v>276</v>
      </c>
      <c r="M561" s="5" t="s">
        <v>3561</v>
      </c>
    </row>
    <row r="562" spans="1:13" ht="50.1" customHeight="1" x14ac:dyDescent="0.2">
      <c r="A562" s="5" t="s">
        <v>4033</v>
      </c>
      <c r="B562" s="5" t="s">
        <v>264</v>
      </c>
      <c r="C562" s="5" t="s">
        <v>4034</v>
      </c>
      <c r="D562" s="5" t="s">
        <v>4035</v>
      </c>
      <c r="E562" s="8">
        <v>1</v>
      </c>
      <c r="F562" s="5" t="s">
        <v>150</v>
      </c>
      <c r="G562" s="5" t="s">
        <v>1016</v>
      </c>
      <c r="H562" s="5" t="s">
        <v>4036</v>
      </c>
      <c r="I562" s="5"/>
      <c r="J562" s="5" t="s">
        <v>278</v>
      </c>
      <c r="K562" s="5" t="s">
        <v>3884</v>
      </c>
      <c r="L562" s="5" t="s">
        <v>276</v>
      </c>
      <c r="M562" s="5" t="s">
        <v>3561</v>
      </c>
    </row>
    <row r="563" spans="1:13" ht="50.1" customHeight="1" x14ac:dyDescent="0.2">
      <c r="A563" s="5" t="s">
        <v>4037</v>
      </c>
      <c r="B563" s="5" t="s">
        <v>264</v>
      </c>
      <c r="C563" s="5" t="s">
        <v>4038</v>
      </c>
      <c r="D563" s="5" t="s">
        <v>4039</v>
      </c>
      <c r="E563" s="8">
        <v>1</v>
      </c>
      <c r="F563" s="5" t="s">
        <v>150</v>
      </c>
      <c r="G563" s="5" t="s">
        <v>1097</v>
      </c>
      <c r="H563" s="5" t="s">
        <v>4040</v>
      </c>
      <c r="I563" s="5"/>
      <c r="J563" s="5" t="s">
        <v>278</v>
      </c>
      <c r="K563" s="5" t="s">
        <v>3884</v>
      </c>
      <c r="L563" s="5" t="s">
        <v>276</v>
      </c>
      <c r="M563" s="5" t="s">
        <v>3561</v>
      </c>
    </row>
    <row r="564" spans="1:13" ht="50.1" customHeight="1" x14ac:dyDescent="0.2">
      <c r="A564" s="5" t="s">
        <v>4041</v>
      </c>
      <c r="B564" s="5" t="s">
        <v>264</v>
      </c>
      <c r="C564" s="5" t="s">
        <v>4042</v>
      </c>
      <c r="D564" s="5" t="s">
        <v>4043</v>
      </c>
      <c r="E564" s="8">
        <v>1</v>
      </c>
      <c r="F564" s="5" t="s">
        <v>150</v>
      </c>
      <c r="G564" s="5" t="s">
        <v>1016</v>
      </c>
      <c r="H564" s="5" t="s">
        <v>4044</v>
      </c>
      <c r="I564" s="5"/>
      <c r="J564" s="5" t="s">
        <v>278</v>
      </c>
      <c r="K564" s="5" t="s">
        <v>3884</v>
      </c>
      <c r="L564" s="5" t="s">
        <v>276</v>
      </c>
      <c r="M564" s="5" t="s">
        <v>3561</v>
      </c>
    </row>
    <row r="565" spans="1:13" ht="50.1" customHeight="1" x14ac:dyDescent="0.2">
      <c r="A565" s="5" t="s">
        <v>4045</v>
      </c>
      <c r="B565" s="5" t="s">
        <v>264</v>
      </c>
      <c r="C565" s="5" t="s">
        <v>4046</v>
      </c>
      <c r="D565" s="5" t="s">
        <v>4047</v>
      </c>
      <c r="E565" s="8">
        <v>1</v>
      </c>
      <c r="F565" s="5" t="s">
        <v>150</v>
      </c>
      <c r="G565" s="5" t="s">
        <v>1097</v>
      </c>
      <c r="H565" s="5" t="s">
        <v>4048</v>
      </c>
      <c r="I565" s="5"/>
      <c r="J565" s="5" t="s">
        <v>278</v>
      </c>
      <c r="K565" s="5" t="s">
        <v>3884</v>
      </c>
      <c r="L565" s="5" t="s">
        <v>276</v>
      </c>
      <c r="M565" s="5" t="s">
        <v>3561</v>
      </c>
    </row>
    <row r="566" spans="1:13" ht="50.1" customHeight="1" x14ac:dyDescent="0.2">
      <c r="A566" s="5" t="s">
        <v>4049</v>
      </c>
      <c r="B566" s="5" t="s">
        <v>264</v>
      </c>
      <c r="C566" s="5" t="s">
        <v>4050</v>
      </c>
      <c r="D566" s="5" t="s">
        <v>4051</v>
      </c>
      <c r="E566" s="8">
        <v>1</v>
      </c>
      <c r="F566" s="5" t="s">
        <v>150</v>
      </c>
      <c r="G566" s="5" t="s">
        <v>1016</v>
      </c>
      <c r="H566" s="5" t="s">
        <v>4052</v>
      </c>
      <c r="I566" s="5"/>
      <c r="J566" s="5" t="s">
        <v>278</v>
      </c>
      <c r="K566" s="5" t="s">
        <v>3884</v>
      </c>
      <c r="L566" s="5" t="s">
        <v>276</v>
      </c>
      <c r="M566" s="5" t="s">
        <v>3561</v>
      </c>
    </row>
    <row r="567" spans="1:13" ht="57" customHeight="1" x14ac:dyDescent="0.2">
      <c r="A567" s="5" t="s">
        <v>4053</v>
      </c>
      <c r="B567" s="5" t="s">
        <v>264</v>
      </c>
      <c r="C567" s="5" t="s">
        <v>4054</v>
      </c>
      <c r="D567" s="5" t="s">
        <v>4055</v>
      </c>
      <c r="E567" s="8">
        <v>1</v>
      </c>
      <c r="F567" s="5" t="s">
        <v>150</v>
      </c>
      <c r="G567" s="5" t="s">
        <v>1097</v>
      </c>
      <c r="H567" s="5" t="s">
        <v>4056</v>
      </c>
      <c r="I567" s="5"/>
      <c r="J567" s="5" t="s">
        <v>278</v>
      </c>
      <c r="K567" s="5" t="s">
        <v>3884</v>
      </c>
      <c r="L567" s="5" t="s">
        <v>276</v>
      </c>
      <c r="M567" s="5" t="s">
        <v>3561</v>
      </c>
    </row>
    <row r="568" spans="1:13" ht="50.1" customHeight="1" x14ac:dyDescent="0.2">
      <c r="A568" s="5" t="s">
        <v>4057</v>
      </c>
      <c r="B568" s="5" t="s">
        <v>264</v>
      </c>
      <c r="C568" s="5" t="s">
        <v>4058</v>
      </c>
      <c r="D568" s="5" t="s">
        <v>4059</v>
      </c>
      <c r="E568" s="8">
        <v>1</v>
      </c>
      <c r="F568" s="5" t="s">
        <v>150</v>
      </c>
      <c r="G568" s="5" t="s">
        <v>1016</v>
      </c>
      <c r="H568" s="5" t="s">
        <v>4060</v>
      </c>
      <c r="I568" s="5"/>
      <c r="J568" s="5" t="s">
        <v>278</v>
      </c>
      <c r="K568" s="5" t="s">
        <v>3884</v>
      </c>
      <c r="L568" s="5" t="s">
        <v>276</v>
      </c>
      <c r="M568" s="5" t="s">
        <v>3561</v>
      </c>
    </row>
    <row r="569" spans="1:13" ht="57" customHeight="1" x14ac:dyDescent="0.2">
      <c r="A569" s="5" t="s">
        <v>4061</v>
      </c>
      <c r="B569" s="5" t="s">
        <v>264</v>
      </c>
      <c r="C569" s="5" t="s">
        <v>4062</v>
      </c>
      <c r="D569" s="5" t="s">
        <v>4063</v>
      </c>
      <c r="E569" s="8">
        <v>1</v>
      </c>
      <c r="F569" s="5" t="s">
        <v>150</v>
      </c>
      <c r="G569" s="5" t="s">
        <v>1097</v>
      </c>
      <c r="H569" s="5" t="s">
        <v>4064</v>
      </c>
      <c r="I569" s="5"/>
      <c r="J569" s="5" t="s">
        <v>278</v>
      </c>
      <c r="K569" s="5" t="s">
        <v>3884</v>
      </c>
      <c r="L569" s="5" t="s">
        <v>276</v>
      </c>
      <c r="M569" s="5" t="s">
        <v>3561</v>
      </c>
    </row>
    <row r="570" spans="1:13" ht="50.1" customHeight="1" x14ac:dyDescent="0.2">
      <c r="A570" s="5" t="s">
        <v>4065</v>
      </c>
      <c r="B570" s="5" t="s">
        <v>264</v>
      </c>
      <c r="C570" s="5" t="s">
        <v>4066</v>
      </c>
      <c r="D570" s="5" t="s">
        <v>4067</v>
      </c>
      <c r="E570" s="8">
        <v>1</v>
      </c>
      <c r="F570" s="5" t="s">
        <v>150</v>
      </c>
      <c r="G570" s="5" t="s">
        <v>1016</v>
      </c>
      <c r="H570" s="5" t="s">
        <v>4068</v>
      </c>
      <c r="I570" s="5"/>
      <c r="J570" s="5" t="s">
        <v>278</v>
      </c>
      <c r="K570" s="5" t="s">
        <v>3884</v>
      </c>
      <c r="L570" s="5" t="s">
        <v>276</v>
      </c>
      <c r="M570" s="5" t="s">
        <v>3561</v>
      </c>
    </row>
    <row r="571" spans="1:13" ht="57" customHeight="1" x14ac:dyDescent="0.2">
      <c r="A571" s="5" t="s">
        <v>4069</v>
      </c>
      <c r="B571" s="5" t="s">
        <v>264</v>
      </c>
      <c r="C571" s="5" t="s">
        <v>4070</v>
      </c>
      <c r="D571" s="5" t="s">
        <v>4071</v>
      </c>
      <c r="E571" s="8">
        <v>1</v>
      </c>
      <c r="F571" s="5" t="s">
        <v>150</v>
      </c>
      <c r="G571" s="5" t="s">
        <v>1097</v>
      </c>
      <c r="H571" s="5" t="s">
        <v>4072</v>
      </c>
      <c r="I571" s="5"/>
      <c r="J571" s="5" t="s">
        <v>278</v>
      </c>
      <c r="K571" s="5" t="s">
        <v>3884</v>
      </c>
      <c r="L571" s="5" t="s">
        <v>276</v>
      </c>
      <c r="M571" s="5" t="s">
        <v>3561</v>
      </c>
    </row>
    <row r="572" spans="1:13" ht="50.1" customHeight="1" x14ac:dyDescent="0.2">
      <c r="A572" s="5" t="s">
        <v>4073</v>
      </c>
      <c r="B572" s="5" t="s">
        <v>264</v>
      </c>
      <c r="C572" s="5" t="s">
        <v>4074</v>
      </c>
      <c r="D572" s="5" t="s">
        <v>4075</v>
      </c>
      <c r="E572" s="8">
        <v>1</v>
      </c>
      <c r="F572" s="5" t="s">
        <v>150</v>
      </c>
      <c r="G572" s="5" t="s">
        <v>1177</v>
      </c>
      <c r="H572" s="5" t="s">
        <v>4076</v>
      </c>
      <c r="I572" s="5"/>
      <c r="J572" s="5" t="s">
        <v>278</v>
      </c>
      <c r="K572" s="5" t="s">
        <v>3884</v>
      </c>
      <c r="L572" s="5" t="s">
        <v>276</v>
      </c>
      <c r="M572" s="5" t="s">
        <v>3561</v>
      </c>
    </row>
    <row r="573" spans="1:13" ht="50.1" customHeight="1" x14ac:dyDescent="0.2">
      <c r="A573" s="5" t="s">
        <v>4077</v>
      </c>
      <c r="B573" s="5" t="s">
        <v>264</v>
      </c>
      <c r="C573" s="5" t="s">
        <v>4078</v>
      </c>
      <c r="D573" s="5" t="s">
        <v>4079</v>
      </c>
      <c r="E573" s="8">
        <v>1</v>
      </c>
      <c r="F573" s="5" t="s">
        <v>150</v>
      </c>
      <c r="G573" s="5" t="s">
        <v>1177</v>
      </c>
      <c r="H573" s="5" t="s">
        <v>4080</v>
      </c>
      <c r="I573" s="5"/>
      <c r="J573" s="5" t="s">
        <v>278</v>
      </c>
      <c r="K573" s="5" t="s">
        <v>3884</v>
      </c>
      <c r="L573" s="5" t="s">
        <v>276</v>
      </c>
      <c r="M573" s="5" t="s">
        <v>3561</v>
      </c>
    </row>
    <row r="574" spans="1:13" ht="50.1" customHeight="1" x14ac:dyDescent="0.2">
      <c r="A574" s="5" t="s">
        <v>4081</v>
      </c>
      <c r="B574" s="5" t="s">
        <v>264</v>
      </c>
      <c r="C574" s="5" t="s">
        <v>4082</v>
      </c>
      <c r="D574" s="5" t="s">
        <v>4083</v>
      </c>
      <c r="E574" s="8">
        <v>1</v>
      </c>
      <c r="F574" s="5" t="s">
        <v>150</v>
      </c>
      <c r="G574" s="5" t="s">
        <v>1177</v>
      </c>
      <c r="H574" s="5" t="s">
        <v>4084</v>
      </c>
      <c r="I574" s="5"/>
      <c r="J574" s="5" t="s">
        <v>278</v>
      </c>
      <c r="K574" s="5" t="s">
        <v>3884</v>
      </c>
      <c r="L574" s="5" t="s">
        <v>276</v>
      </c>
      <c r="M574" s="5" t="s">
        <v>3561</v>
      </c>
    </row>
    <row r="575" spans="1:13" ht="50.1" customHeight="1" x14ac:dyDescent="0.2">
      <c r="A575" s="5" t="s">
        <v>4085</v>
      </c>
      <c r="B575" s="5" t="s">
        <v>4086</v>
      </c>
      <c r="C575" s="5" t="s">
        <v>4087</v>
      </c>
      <c r="D575" s="5" t="s">
        <v>4088</v>
      </c>
      <c r="E575" s="8">
        <v>1</v>
      </c>
      <c r="F575" s="5" t="s">
        <v>150</v>
      </c>
      <c r="G575" s="5" t="s">
        <v>1177</v>
      </c>
      <c r="H575" s="5" t="s">
        <v>4089</v>
      </c>
      <c r="I575" s="5"/>
      <c r="J575" s="5" t="s">
        <v>283</v>
      </c>
      <c r="K575" s="5" t="s">
        <v>4090</v>
      </c>
      <c r="L575" s="5" t="s">
        <v>276</v>
      </c>
      <c r="M575" s="5" t="s">
        <v>851</v>
      </c>
    </row>
    <row r="576" spans="1:13" ht="50.1" customHeight="1" x14ac:dyDescent="0.2">
      <c r="A576" s="5" t="s">
        <v>4091</v>
      </c>
      <c r="B576" s="5" t="s">
        <v>4086</v>
      </c>
      <c r="C576" s="5" t="s">
        <v>4092</v>
      </c>
      <c r="D576" s="5" t="s">
        <v>4093</v>
      </c>
      <c r="E576" s="8">
        <v>1</v>
      </c>
      <c r="F576" s="5" t="s">
        <v>150</v>
      </c>
      <c r="G576" s="5" t="s">
        <v>1177</v>
      </c>
      <c r="H576" s="5" t="s">
        <v>4094</v>
      </c>
      <c r="I576" s="5"/>
      <c r="J576" s="5" t="s">
        <v>283</v>
      </c>
      <c r="K576" s="5" t="s">
        <v>4090</v>
      </c>
      <c r="L576" s="5" t="s">
        <v>276</v>
      </c>
      <c r="M576" s="5" t="s">
        <v>851</v>
      </c>
    </row>
    <row r="577" spans="1:13" ht="50.1" customHeight="1" x14ac:dyDescent="0.2">
      <c r="A577" s="5" t="s">
        <v>4095</v>
      </c>
      <c r="B577" s="5" t="s">
        <v>4086</v>
      </c>
      <c r="C577" s="5" t="s">
        <v>4096</v>
      </c>
      <c r="D577" s="5" t="s">
        <v>4097</v>
      </c>
      <c r="E577" s="8">
        <v>1</v>
      </c>
      <c r="F577" s="5" t="s">
        <v>150</v>
      </c>
      <c r="G577" s="5" t="s">
        <v>1177</v>
      </c>
      <c r="H577" s="5" t="s">
        <v>4098</v>
      </c>
      <c r="I577" s="5"/>
      <c r="J577" s="5" t="s">
        <v>283</v>
      </c>
      <c r="K577" s="5" t="s">
        <v>4090</v>
      </c>
      <c r="L577" s="5" t="s">
        <v>276</v>
      </c>
      <c r="M577" s="5" t="s">
        <v>851</v>
      </c>
    </row>
    <row r="578" spans="1:13" ht="50.1" customHeight="1" x14ac:dyDescent="0.2">
      <c r="A578" s="5" t="s">
        <v>4099</v>
      </c>
      <c r="B578" s="5" t="s">
        <v>4086</v>
      </c>
      <c r="C578" s="5" t="s">
        <v>4100</v>
      </c>
      <c r="D578" s="5" t="s">
        <v>4101</v>
      </c>
      <c r="E578" s="8">
        <v>1</v>
      </c>
      <c r="F578" s="5" t="s">
        <v>150</v>
      </c>
      <c r="G578" s="5" t="s">
        <v>1177</v>
      </c>
      <c r="H578" s="5" t="s">
        <v>4102</v>
      </c>
      <c r="I578" s="5"/>
      <c r="J578" s="5" t="s">
        <v>283</v>
      </c>
      <c r="K578" s="5" t="s">
        <v>4090</v>
      </c>
      <c r="L578" s="5" t="s">
        <v>276</v>
      </c>
      <c r="M578" s="5" t="s">
        <v>851</v>
      </c>
    </row>
    <row r="579" spans="1:13" ht="50.1" customHeight="1" x14ac:dyDescent="0.2">
      <c r="A579" s="5" t="s">
        <v>4103</v>
      </c>
      <c r="B579" s="5" t="s">
        <v>4086</v>
      </c>
      <c r="C579" s="5" t="s">
        <v>4104</v>
      </c>
      <c r="D579" s="5" t="s">
        <v>4105</v>
      </c>
      <c r="E579" s="8">
        <v>1</v>
      </c>
      <c r="F579" s="5" t="s">
        <v>150</v>
      </c>
      <c r="G579" s="5" t="s">
        <v>1177</v>
      </c>
      <c r="H579" s="5" t="s">
        <v>4106</v>
      </c>
      <c r="I579" s="5"/>
      <c r="J579" s="5" t="s">
        <v>283</v>
      </c>
      <c r="K579" s="5" t="s">
        <v>4090</v>
      </c>
      <c r="L579" s="5" t="s">
        <v>276</v>
      </c>
      <c r="M579" s="5" t="s">
        <v>851</v>
      </c>
    </row>
    <row r="580" spans="1:13" ht="50.1" customHeight="1" x14ac:dyDescent="0.2">
      <c r="A580" s="5" t="s">
        <v>4107</v>
      </c>
      <c r="B580" s="5" t="s">
        <v>4086</v>
      </c>
      <c r="C580" s="5" t="s">
        <v>4108</v>
      </c>
      <c r="D580" s="5" t="s">
        <v>4109</v>
      </c>
      <c r="E580" s="8">
        <v>1</v>
      </c>
      <c r="F580" s="5" t="s">
        <v>150</v>
      </c>
      <c r="G580" s="5" t="s">
        <v>1177</v>
      </c>
      <c r="H580" s="5" t="s">
        <v>4110</v>
      </c>
      <c r="I580" s="5"/>
      <c r="J580" s="5" t="s">
        <v>283</v>
      </c>
      <c r="K580" s="5" t="s">
        <v>4090</v>
      </c>
      <c r="L580" s="5" t="s">
        <v>276</v>
      </c>
      <c r="M580" s="5" t="s">
        <v>851</v>
      </c>
    </row>
    <row r="581" spans="1:13" ht="50.1" customHeight="1" x14ac:dyDescent="0.2">
      <c r="A581" s="5" t="s">
        <v>4111</v>
      </c>
      <c r="B581" s="5" t="s">
        <v>4112</v>
      </c>
      <c r="C581" s="5" t="s">
        <v>4113</v>
      </c>
      <c r="D581" s="5" t="s">
        <v>4114</v>
      </c>
      <c r="E581" s="8">
        <v>1</v>
      </c>
      <c r="F581" s="5" t="s">
        <v>150</v>
      </c>
      <c r="G581" s="5" t="s">
        <v>1177</v>
      </c>
      <c r="H581" s="5" t="s">
        <v>4115</v>
      </c>
      <c r="I581" s="5"/>
      <c r="J581" s="5" t="s">
        <v>288</v>
      </c>
      <c r="K581" s="5" t="s">
        <v>4116</v>
      </c>
      <c r="L581" s="5" t="s">
        <v>276</v>
      </c>
      <c r="M581" s="5" t="s">
        <v>851</v>
      </c>
    </row>
    <row r="582" spans="1:13" ht="50.1" customHeight="1" x14ac:dyDescent="0.2">
      <c r="A582" s="5" t="s">
        <v>4117</v>
      </c>
      <c r="B582" s="5" t="s">
        <v>4112</v>
      </c>
      <c r="C582" s="5" t="s">
        <v>4118</v>
      </c>
      <c r="D582" s="5" t="s">
        <v>4119</v>
      </c>
      <c r="E582" s="8">
        <v>1</v>
      </c>
      <c r="F582" s="5" t="s">
        <v>150</v>
      </c>
      <c r="G582" s="5" t="s">
        <v>1177</v>
      </c>
      <c r="H582" s="5" t="s">
        <v>4120</v>
      </c>
      <c r="I582" s="5"/>
      <c r="J582" s="5" t="s">
        <v>288</v>
      </c>
      <c r="K582" s="5" t="s">
        <v>4116</v>
      </c>
      <c r="L582" s="5" t="s">
        <v>276</v>
      </c>
      <c r="M582" s="5" t="s">
        <v>851</v>
      </c>
    </row>
    <row r="583" spans="1:13" ht="50.1" customHeight="1" x14ac:dyDescent="0.2">
      <c r="A583" s="5" t="s">
        <v>4121</v>
      </c>
      <c r="B583" s="5" t="s">
        <v>4112</v>
      </c>
      <c r="C583" s="5" t="s">
        <v>4122</v>
      </c>
      <c r="D583" s="5" t="s">
        <v>4123</v>
      </c>
      <c r="E583" s="8">
        <v>1</v>
      </c>
      <c r="F583" s="5" t="s">
        <v>150</v>
      </c>
      <c r="G583" s="5" t="s">
        <v>1177</v>
      </c>
      <c r="H583" s="5" t="s">
        <v>4124</v>
      </c>
      <c r="I583" s="5"/>
      <c r="J583" s="5" t="s">
        <v>288</v>
      </c>
      <c r="K583" s="5" t="s">
        <v>4116</v>
      </c>
      <c r="L583" s="5" t="s">
        <v>276</v>
      </c>
      <c r="M583" s="5" t="s">
        <v>851</v>
      </c>
    </row>
    <row r="584" spans="1:13" ht="50.1" customHeight="1" x14ac:dyDescent="0.2">
      <c r="A584" s="5" t="s">
        <v>4017</v>
      </c>
      <c r="B584" s="5" t="s">
        <v>4112</v>
      </c>
      <c r="C584" s="5" t="s">
        <v>4125</v>
      </c>
      <c r="D584" s="5" t="s">
        <v>4126</v>
      </c>
      <c r="E584" s="8">
        <v>1</v>
      </c>
      <c r="F584" s="5" t="s">
        <v>150</v>
      </c>
      <c r="G584" s="5" t="s">
        <v>1272</v>
      </c>
      <c r="H584" s="5" t="s">
        <v>4127</v>
      </c>
      <c r="I584" s="5"/>
      <c r="J584" s="5" t="s">
        <v>288</v>
      </c>
      <c r="K584" s="5" t="s">
        <v>4116</v>
      </c>
      <c r="L584" s="5" t="s">
        <v>276</v>
      </c>
      <c r="M584" s="5" t="s">
        <v>851</v>
      </c>
    </row>
    <row r="585" spans="1:13" ht="50.1" customHeight="1" x14ac:dyDescent="0.2">
      <c r="A585" s="5" t="s">
        <v>4128</v>
      </c>
      <c r="B585" s="5" t="s">
        <v>4112</v>
      </c>
      <c r="C585" s="5" t="s">
        <v>4129</v>
      </c>
      <c r="D585" s="5" t="s">
        <v>4130</v>
      </c>
      <c r="E585" s="8">
        <v>1</v>
      </c>
      <c r="F585" s="5" t="s">
        <v>150</v>
      </c>
      <c r="G585" s="5" t="s">
        <v>1350</v>
      </c>
      <c r="H585" s="5" t="s">
        <v>4131</v>
      </c>
      <c r="I585" s="5"/>
      <c r="J585" s="5" t="s">
        <v>288</v>
      </c>
      <c r="K585" s="5" t="s">
        <v>4116</v>
      </c>
      <c r="L585" s="5" t="s">
        <v>276</v>
      </c>
      <c r="M585" s="5" t="s">
        <v>851</v>
      </c>
    </row>
    <row r="586" spans="1:13" ht="50.1" customHeight="1" x14ac:dyDescent="0.2">
      <c r="A586" s="5" t="s">
        <v>4132</v>
      </c>
      <c r="B586" s="5" t="s">
        <v>4112</v>
      </c>
      <c r="C586" s="5" t="s">
        <v>4133</v>
      </c>
      <c r="D586" s="5" t="s">
        <v>4134</v>
      </c>
      <c r="E586" s="8">
        <v>1</v>
      </c>
      <c r="F586" s="5" t="s">
        <v>150</v>
      </c>
      <c r="G586" s="5" t="s">
        <v>1177</v>
      </c>
      <c r="H586" s="5" t="s">
        <v>4135</v>
      </c>
      <c r="I586" s="5"/>
      <c r="J586" s="5" t="s">
        <v>288</v>
      </c>
      <c r="K586" s="5" t="s">
        <v>4116</v>
      </c>
      <c r="L586" s="5" t="s">
        <v>276</v>
      </c>
      <c r="M586" s="5" t="s">
        <v>851</v>
      </c>
    </row>
    <row r="587" spans="1:13" ht="50.1" customHeight="1" x14ac:dyDescent="0.2">
      <c r="A587" s="5" t="s">
        <v>4136</v>
      </c>
      <c r="B587" s="5" t="s">
        <v>4112</v>
      </c>
      <c r="C587" s="5" t="s">
        <v>4137</v>
      </c>
      <c r="D587" s="5" t="s">
        <v>4138</v>
      </c>
      <c r="E587" s="8">
        <v>1</v>
      </c>
      <c r="F587" s="5" t="s">
        <v>150</v>
      </c>
      <c r="G587" s="5" t="s">
        <v>1177</v>
      </c>
      <c r="H587" s="5" t="s">
        <v>4139</v>
      </c>
      <c r="I587" s="5"/>
      <c r="J587" s="5" t="s">
        <v>288</v>
      </c>
      <c r="K587" s="5" t="s">
        <v>4116</v>
      </c>
      <c r="L587" s="5" t="s">
        <v>276</v>
      </c>
      <c r="M587" s="5" t="s">
        <v>851</v>
      </c>
    </row>
    <row r="588" spans="1:13" ht="50.1" customHeight="1" x14ac:dyDescent="0.2">
      <c r="A588" s="5" t="s">
        <v>4140</v>
      </c>
      <c r="B588" s="5" t="s">
        <v>4112</v>
      </c>
      <c r="C588" s="5" t="s">
        <v>4141</v>
      </c>
      <c r="D588" s="5" t="s">
        <v>4142</v>
      </c>
      <c r="E588" s="8">
        <v>1</v>
      </c>
      <c r="F588" s="5" t="s">
        <v>150</v>
      </c>
      <c r="G588" s="5" t="s">
        <v>1177</v>
      </c>
      <c r="H588" s="5" t="s">
        <v>4143</v>
      </c>
      <c r="I588" s="5"/>
      <c r="J588" s="5" t="s">
        <v>288</v>
      </c>
      <c r="K588" s="5" t="s">
        <v>4116</v>
      </c>
      <c r="L588" s="5" t="s">
        <v>276</v>
      </c>
      <c r="M588" s="5" t="s">
        <v>851</v>
      </c>
    </row>
    <row r="589" spans="1:13" ht="50.1" customHeight="1" x14ac:dyDescent="0.2">
      <c r="A589" s="5" t="s">
        <v>4033</v>
      </c>
      <c r="B589" s="5" t="s">
        <v>4112</v>
      </c>
      <c r="C589" s="5" t="s">
        <v>4144</v>
      </c>
      <c r="D589" s="5" t="s">
        <v>4145</v>
      </c>
      <c r="E589" s="8">
        <v>1</v>
      </c>
      <c r="F589" s="5" t="s">
        <v>150</v>
      </c>
      <c r="G589" s="5" t="s">
        <v>1272</v>
      </c>
      <c r="H589" s="5" t="s">
        <v>4146</v>
      </c>
      <c r="I589" s="5"/>
      <c r="J589" s="5" t="s">
        <v>288</v>
      </c>
      <c r="K589" s="5" t="s">
        <v>4116</v>
      </c>
      <c r="L589" s="5" t="s">
        <v>276</v>
      </c>
      <c r="M589" s="5" t="s">
        <v>851</v>
      </c>
    </row>
    <row r="590" spans="1:13" ht="50.1" customHeight="1" x14ac:dyDescent="0.2">
      <c r="A590" s="5" t="s">
        <v>4147</v>
      </c>
      <c r="B590" s="5" t="s">
        <v>4112</v>
      </c>
      <c r="C590" s="5" t="s">
        <v>4148</v>
      </c>
      <c r="D590" s="5" t="s">
        <v>4149</v>
      </c>
      <c r="E590" s="8">
        <v>1</v>
      </c>
      <c r="F590" s="5" t="s">
        <v>150</v>
      </c>
      <c r="G590" s="5" t="s">
        <v>1350</v>
      </c>
      <c r="H590" s="5" t="s">
        <v>4150</v>
      </c>
      <c r="I590" s="5"/>
      <c r="J590" s="5" t="s">
        <v>288</v>
      </c>
      <c r="K590" s="5" t="s">
        <v>4116</v>
      </c>
      <c r="L590" s="5" t="s">
        <v>276</v>
      </c>
      <c r="M590" s="5" t="s">
        <v>851</v>
      </c>
    </row>
    <row r="591" spans="1:13" ht="50.1" customHeight="1" x14ac:dyDescent="0.2">
      <c r="A591" s="5" t="s">
        <v>4151</v>
      </c>
      <c r="B591" s="5" t="s">
        <v>4152</v>
      </c>
      <c r="C591" s="5" t="s">
        <v>4153</v>
      </c>
      <c r="D591" s="5" t="s">
        <v>4154</v>
      </c>
      <c r="E591" s="8">
        <v>1</v>
      </c>
      <c r="F591" s="5" t="s">
        <v>150</v>
      </c>
      <c r="G591" s="5" t="s">
        <v>1177</v>
      </c>
      <c r="H591" s="5" t="s">
        <v>4155</v>
      </c>
      <c r="I591" s="5"/>
      <c r="J591" s="5" t="s">
        <v>293</v>
      </c>
      <c r="K591" s="5" t="s">
        <v>4156</v>
      </c>
      <c r="L591" s="5" t="s">
        <v>276</v>
      </c>
      <c r="M591" s="5" t="s">
        <v>851</v>
      </c>
    </row>
    <row r="592" spans="1:13" ht="50.1" customHeight="1" x14ac:dyDescent="0.2">
      <c r="A592" s="5" t="s">
        <v>4157</v>
      </c>
      <c r="B592" s="5" t="s">
        <v>4152</v>
      </c>
      <c r="C592" s="5" t="s">
        <v>4158</v>
      </c>
      <c r="D592" s="5" t="s">
        <v>4159</v>
      </c>
      <c r="E592" s="8">
        <v>1</v>
      </c>
      <c r="F592" s="5" t="s">
        <v>150</v>
      </c>
      <c r="G592" s="5" t="s">
        <v>1177</v>
      </c>
      <c r="H592" s="5" t="s">
        <v>4160</v>
      </c>
      <c r="I592" s="5"/>
      <c r="J592" s="5" t="s">
        <v>293</v>
      </c>
      <c r="K592" s="5" t="s">
        <v>4156</v>
      </c>
      <c r="L592" s="5" t="s">
        <v>276</v>
      </c>
      <c r="M592" s="5" t="s">
        <v>851</v>
      </c>
    </row>
    <row r="593" spans="1:13" ht="50.1" customHeight="1" x14ac:dyDescent="0.2">
      <c r="A593" s="5" t="s">
        <v>4161</v>
      </c>
      <c r="B593" s="5" t="s">
        <v>4152</v>
      </c>
      <c r="C593" s="5" t="s">
        <v>4162</v>
      </c>
      <c r="D593" s="5" t="s">
        <v>4163</v>
      </c>
      <c r="E593" s="8">
        <v>1</v>
      </c>
      <c r="F593" s="5" t="s">
        <v>150</v>
      </c>
      <c r="G593" s="5" t="s">
        <v>1177</v>
      </c>
      <c r="H593" s="5" t="s">
        <v>4164</v>
      </c>
      <c r="I593" s="5"/>
      <c r="J593" s="5" t="s">
        <v>293</v>
      </c>
      <c r="K593" s="5" t="s">
        <v>4156</v>
      </c>
      <c r="L593" s="5" t="s">
        <v>276</v>
      </c>
      <c r="M593" s="5" t="s">
        <v>851</v>
      </c>
    </row>
    <row r="594" spans="1:13" ht="50.1" customHeight="1" x14ac:dyDescent="0.2">
      <c r="A594" s="5" t="s">
        <v>4025</v>
      </c>
      <c r="B594" s="5" t="s">
        <v>4152</v>
      </c>
      <c r="C594" s="5" t="s">
        <v>4165</v>
      </c>
      <c r="D594" s="5" t="s">
        <v>4166</v>
      </c>
      <c r="E594" s="8">
        <v>1</v>
      </c>
      <c r="F594" s="5" t="s">
        <v>150</v>
      </c>
      <c r="G594" s="5" t="s">
        <v>1272</v>
      </c>
      <c r="H594" s="5" t="s">
        <v>4167</v>
      </c>
      <c r="I594" s="5"/>
      <c r="J594" s="5" t="s">
        <v>293</v>
      </c>
      <c r="K594" s="5" t="s">
        <v>4156</v>
      </c>
      <c r="L594" s="5" t="s">
        <v>276</v>
      </c>
      <c r="M594" s="5" t="s">
        <v>851</v>
      </c>
    </row>
    <row r="595" spans="1:13" ht="50.1" customHeight="1" x14ac:dyDescent="0.2">
      <c r="A595" s="5" t="s">
        <v>4168</v>
      </c>
      <c r="B595" s="5" t="s">
        <v>4152</v>
      </c>
      <c r="C595" s="5" t="s">
        <v>4169</v>
      </c>
      <c r="D595" s="5" t="s">
        <v>4170</v>
      </c>
      <c r="E595" s="8">
        <v>1</v>
      </c>
      <c r="F595" s="5" t="s">
        <v>150</v>
      </c>
      <c r="G595" s="5" t="s">
        <v>1350</v>
      </c>
      <c r="H595" s="5" t="s">
        <v>4171</v>
      </c>
      <c r="I595" s="5"/>
      <c r="J595" s="5" t="s">
        <v>293</v>
      </c>
      <c r="K595" s="5" t="s">
        <v>4156</v>
      </c>
      <c r="L595" s="5" t="s">
        <v>276</v>
      </c>
      <c r="M595" s="5" t="s">
        <v>851</v>
      </c>
    </row>
    <row r="596" spans="1:13" ht="50.1" customHeight="1" x14ac:dyDescent="0.2">
      <c r="A596" s="5" t="s">
        <v>4172</v>
      </c>
      <c r="B596" s="5" t="s">
        <v>4173</v>
      </c>
      <c r="C596" s="5" t="s">
        <v>4174</v>
      </c>
      <c r="D596" s="5" t="s">
        <v>4175</v>
      </c>
      <c r="E596" s="8">
        <v>1</v>
      </c>
      <c r="F596" s="5" t="s">
        <v>150</v>
      </c>
      <c r="G596" s="5" t="s">
        <v>1177</v>
      </c>
      <c r="H596" s="5" t="s">
        <v>4176</v>
      </c>
      <c r="I596" s="5"/>
      <c r="J596" s="5" t="s">
        <v>298</v>
      </c>
      <c r="K596" s="5" t="s">
        <v>4177</v>
      </c>
      <c r="L596" s="5" t="s">
        <v>276</v>
      </c>
      <c r="M596" s="5" t="s">
        <v>851</v>
      </c>
    </row>
    <row r="597" spans="1:13" ht="50.1" customHeight="1" x14ac:dyDescent="0.2">
      <c r="A597" s="5" t="s">
        <v>4178</v>
      </c>
      <c r="B597" s="5" t="s">
        <v>4173</v>
      </c>
      <c r="C597" s="5" t="s">
        <v>4179</v>
      </c>
      <c r="D597" s="5" t="s">
        <v>4180</v>
      </c>
      <c r="E597" s="8">
        <v>1</v>
      </c>
      <c r="F597" s="5" t="s">
        <v>150</v>
      </c>
      <c r="G597" s="5" t="s">
        <v>1177</v>
      </c>
      <c r="H597" s="5" t="s">
        <v>4181</v>
      </c>
      <c r="I597" s="5"/>
      <c r="J597" s="5" t="s">
        <v>298</v>
      </c>
      <c r="K597" s="5" t="s">
        <v>4177</v>
      </c>
      <c r="L597" s="5" t="s">
        <v>276</v>
      </c>
      <c r="M597" s="5" t="s">
        <v>851</v>
      </c>
    </row>
    <row r="598" spans="1:13" ht="50.1" customHeight="1" x14ac:dyDescent="0.2">
      <c r="A598" s="5" t="s">
        <v>4182</v>
      </c>
      <c r="B598" s="5" t="s">
        <v>4173</v>
      </c>
      <c r="C598" s="5" t="s">
        <v>4183</v>
      </c>
      <c r="D598" s="5" t="s">
        <v>4184</v>
      </c>
      <c r="E598" s="8">
        <v>1</v>
      </c>
      <c r="F598" s="5" t="s">
        <v>150</v>
      </c>
      <c r="G598" s="5" t="s">
        <v>1177</v>
      </c>
      <c r="H598" s="5" t="s">
        <v>4185</v>
      </c>
      <c r="I598" s="5"/>
      <c r="J598" s="5" t="s">
        <v>298</v>
      </c>
      <c r="K598" s="5" t="s">
        <v>4177</v>
      </c>
      <c r="L598" s="5" t="s">
        <v>276</v>
      </c>
      <c r="M598" s="5" t="s">
        <v>851</v>
      </c>
    </row>
    <row r="599" spans="1:13" ht="50.1" customHeight="1" x14ac:dyDescent="0.2">
      <c r="A599" s="5" t="s">
        <v>4041</v>
      </c>
      <c r="B599" s="5" t="s">
        <v>4173</v>
      </c>
      <c r="C599" s="5" t="s">
        <v>4186</v>
      </c>
      <c r="D599" s="5" t="s">
        <v>4187</v>
      </c>
      <c r="E599" s="8">
        <v>1</v>
      </c>
      <c r="F599" s="5" t="s">
        <v>150</v>
      </c>
      <c r="G599" s="5" t="s">
        <v>1272</v>
      </c>
      <c r="H599" s="5" t="s">
        <v>4188</v>
      </c>
      <c r="I599" s="5"/>
      <c r="J599" s="5" t="s">
        <v>298</v>
      </c>
      <c r="K599" s="5" t="s">
        <v>4177</v>
      </c>
      <c r="L599" s="5" t="s">
        <v>276</v>
      </c>
      <c r="M599" s="5" t="s">
        <v>851</v>
      </c>
    </row>
    <row r="600" spans="1:13" ht="50.1" customHeight="1" x14ac:dyDescent="0.2">
      <c r="A600" s="5" t="s">
        <v>4189</v>
      </c>
      <c r="B600" s="5" t="s">
        <v>4173</v>
      </c>
      <c r="C600" s="5" t="s">
        <v>4190</v>
      </c>
      <c r="D600" s="5" t="s">
        <v>4191</v>
      </c>
      <c r="E600" s="8">
        <v>1</v>
      </c>
      <c r="F600" s="5" t="s">
        <v>150</v>
      </c>
      <c r="G600" s="5" t="s">
        <v>1350</v>
      </c>
      <c r="H600" s="5" t="s">
        <v>4192</v>
      </c>
      <c r="I600" s="5"/>
      <c r="J600" s="5" t="s">
        <v>298</v>
      </c>
      <c r="K600" s="5" t="s">
        <v>4177</v>
      </c>
      <c r="L600" s="5" t="s">
        <v>276</v>
      </c>
      <c r="M600" s="5" t="s">
        <v>851</v>
      </c>
    </row>
    <row r="601" spans="1:13" ht="50.1" customHeight="1" x14ac:dyDescent="0.2">
      <c r="A601" s="5" t="s">
        <v>4193</v>
      </c>
      <c r="B601" s="5" t="s">
        <v>4194</v>
      </c>
      <c r="C601" s="5" t="s">
        <v>4195</v>
      </c>
      <c r="D601" s="5" t="s">
        <v>4196</v>
      </c>
      <c r="E601" s="8">
        <v>1</v>
      </c>
      <c r="F601" s="5" t="s">
        <v>150</v>
      </c>
      <c r="G601" s="5" t="s">
        <v>1177</v>
      </c>
      <c r="H601" s="5" t="s">
        <v>4197</v>
      </c>
      <c r="I601" s="5"/>
      <c r="J601" s="5" t="s">
        <v>303</v>
      </c>
      <c r="K601" s="5" t="s">
        <v>4198</v>
      </c>
      <c r="L601" s="5" t="s">
        <v>276</v>
      </c>
      <c r="M601" s="5" t="s">
        <v>851</v>
      </c>
    </row>
    <row r="602" spans="1:13" ht="50.1" customHeight="1" x14ac:dyDescent="0.2">
      <c r="A602" s="5" t="s">
        <v>4199</v>
      </c>
      <c r="B602" s="5" t="s">
        <v>4194</v>
      </c>
      <c r="C602" s="5" t="s">
        <v>4200</v>
      </c>
      <c r="D602" s="5" t="s">
        <v>4201</v>
      </c>
      <c r="E602" s="8">
        <v>1</v>
      </c>
      <c r="F602" s="5" t="s">
        <v>150</v>
      </c>
      <c r="G602" s="5" t="s">
        <v>1177</v>
      </c>
      <c r="H602" s="5" t="s">
        <v>4202</v>
      </c>
      <c r="I602" s="5"/>
      <c r="J602" s="5" t="s">
        <v>303</v>
      </c>
      <c r="K602" s="5" t="s">
        <v>4198</v>
      </c>
      <c r="L602" s="5" t="s">
        <v>276</v>
      </c>
      <c r="M602" s="5" t="s">
        <v>851</v>
      </c>
    </row>
    <row r="603" spans="1:13" ht="50.1" customHeight="1" x14ac:dyDescent="0.2">
      <c r="A603" s="5" t="s">
        <v>4203</v>
      </c>
      <c r="B603" s="5" t="s">
        <v>4194</v>
      </c>
      <c r="C603" s="5" t="s">
        <v>4204</v>
      </c>
      <c r="D603" s="5" t="s">
        <v>4205</v>
      </c>
      <c r="E603" s="8">
        <v>1</v>
      </c>
      <c r="F603" s="5" t="s">
        <v>150</v>
      </c>
      <c r="G603" s="5" t="s">
        <v>1177</v>
      </c>
      <c r="H603" s="5" t="s">
        <v>4206</v>
      </c>
      <c r="I603" s="5"/>
      <c r="J603" s="5" t="s">
        <v>303</v>
      </c>
      <c r="K603" s="5" t="s">
        <v>4198</v>
      </c>
      <c r="L603" s="5" t="s">
        <v>276</v>
      </c>
      <c r="M603" s="5" t="s">
        <v>851</v>
      </c>
    </row>
    <row r="604" spans="1:13" ht="50.1" customHeight="1" x14ac:dyDescent="0.2">
      <c r="A604" s="5" t="s">
        <v>4049</v>
      </c>
      <c r="B604" s="5" t="s">
        <v>4194</v>
      </c>
      <c r="C604" s="5" t="s">
        <v>4207</v>
      </c>
      <c r="D604" s="5" t="s">
        <v>4208</v>
      </c>
      <c r="E604" s="8">
        <v>1</v>
      </c>
      <c r="F604" s="5" t="s">
        <v>150</v>
      </c>
      <c r="G604" s="5" t="s">
        <v>1272</v>
      </c>
      <c r="H604" s="5" t="s">
        <v>4209</v>
      </c>
      <c r="I604" s="5"/>
      <c r="J604" s="5" t="s">
        <v>303</v>
      </c>
      <c r="K604" s="5" t="s">
        <v>4198</v>
      </c>
      <c r="L604" s="5" t="s">
        <v>276</v>
      </c>
      <c r="M604" s="5" t="s">
        <v>851</v>
      </c>
    </row>
    <row r="605" spans="1:13" ht="50.1" customHeight="1" x14ac:dyDescent="0.2">
      <c r="A605" s="5" t="s">
        <v>4210</v>
      </c>
      <c r="B605" s="5" t="s">
        <v>4194</v>
      </c>
      <c r="C605" s="5" t="s">
        <v>4211</v>
      </c>
      <c r="D605" s="5" t="s">
        <v>4212</v>
      </c>
      <c r="E605" s="8">
        <v>1</v>
      </c>
      <c r="F605" s="5" t="s">
        <v>150</v>
      </c>
      <c r="G605" s="5" t="s">
        <v>1350</v>
      </c>
      <c r="H605" s="5" t="s">
        <v>4213</v>
      </c>
      <c r="I605" s="5"/>
      <c r="J605" s="5" t="s">
        <v>303</v>
      </c>
      <c r="K605" s="5" t="s">
        <v>4198</v>
      </c>
      <c r="L605" s="5" t="s">
        <v>276</v>
      </c>
      <c r="M605" s="5" t="s">
        <v>851</v>
      </c>
    </row>
    <row r="606" spans="1:13" ht="50.1" customHeight="1" x14ac:dyDescent="0.2">
      <c r="A606" s="5" t="s">
        <v>4214</v>
      </c>
      <c r="B606" s="5" t="s">
        <v>4215</v>
      </c>
      <c r="C606" s="5" t="s">
        <v>4216</v>
      </c>
      <c r="D606" s="5" t="s">
        <v>4217</v>
      </c>
      <c r="E606" s="8">
        <v>1</v>
      </c>
      <c r="F606" s="5" t="s">
        <v>150</v>
      </c>
      <c r="G606" s="5" t="s">
        <v>1177</v>
      </c>
      <c r="H606" s="5" t="s">
        <v>4218</v>
      </c>
      <c r="I606" s="5"/>
      <c r="J606" s="5" t="s">
        <v>308</v>
      </c>
      <c r="K606" s="5" t="s">
        <v>4219</v>
      </c>
      <c r="L606" s="5" t="s">
        <v>276</v>
      </c>
      <c r="M606" s="5" t="s">
        <v>851</v>
      </c>
    </row>
    <row r="607" spans="1:13" ht="50.1" customHeight="1" x14ac:dyDescent="0.2">
      <c r="A607" s="5" t="s">
        <v>4220</v>
      </c>
      <c r="B607" s="5" t="s">
        <v>4215</v>
      </c>
      <c r="C607" s="5" t="s">
        <v>4221</v>
      </c>
      <c r="D607" s="5" t="s">
        <v>4222</v>
      </c>
      <c r="E607" s="8">
        <v>1</v>
      </c>
      <c r="F607" s="5" t="s">
        <v>150</v>
      </c>
      <c r="G607" s="5" t="s">
        <v>1177</v>
      </c>
      <c r="H607" s="5" t="s">
        <v>4223</v>
      </c>
      <c r="I607" s="5"/>
      <c r="J607" s="5" t="s">
        <v>308</v>
      </c>
      <c r="K607" s="5" t="s">
        <v>4219</v>
      </c>
      <c r="L607" s="5" t="s">
        <v>276</v>
      </c>
      <c r="M607" s="5" t="s">
        <v>851</v>
      </c>
    </row>
    <row r="608" spans="1:13" ht="50.1" customHeight="1" x14ac:dyDescent="0.2">
      <c r="A608" s="5" t="s">
        <v>4224</v>
      </c>
      <c r="B608" s="5" t="s">
        <v>4215</v>
      </c>
      <c r="C608" s="5" t="s">
        <v>4225</v>
      </c>
      <c r="D608" s="5" t="s">
        <v>4226</v>
      </c>
      <c r="E608" s="8">
        <v>1</v>
      </c>
      <c r="F608" s="5" t="s">
        <v>150</v>
      </c>
      <c r="G608" s="5" t="s">
        <v>1177</v>
      </c>
      <c r="H608" s="5" t="s">
        <v>4227</v>
      </c>
      <c r="I608" s="5"/>
      <c r="J608" s="5" t="s">
        <v>308</v>
      </c>
      <c r="K608" s="5" t="s">
        <v>4219</v>
      </c>
      <c r="L608" s="5" t="s">
        <v>276</v>
      </c>
      <c r="M608" s="5" t="s">
        <v>851</v>
      </c>
    </row>
    <row r="609" spans="1:13" ht="50.1" customHeight="1" x14ac:dyDescent="0.2">
      <c r="A609" s="5" t="s">
        <v>4057</v>
      </c>
      <c r="B609" s="5" t="s">
        <v>4215</v>
      </c>
      <c r="C609" s="5" t="s">
        <v>4228</v>
      </c>
      <c r="D609" s="5" t="s">
        <v>4229</v>
      </c>
      <c r="E609" s="8">
        <v>1</v>
      </c>
      <c r="F609" s="5" t="s">
        <v>150</v>
      </c>
      <c r="G609" s="5" t="s">
        <v>1272</v>
      </c>
      <c r="H609" s="5" t="s">
        <v>4230</v>
      </c>
      <c r="I609" s="5"/>
      <c r="J609" s="5" t="s">
        <v>308</v>
      </c>
      <c r="K609" s="5" t="s">
        <v>4219</v>
      </c>
      <c r="L609" s="5" t="s">
        <v>276</v>
      </c>
      <c r="M609" s="5" t="s">
        <v>851</v>
      </c>
    </row>
    <row r="610" spans="1:13" ht="50.1" customHeight="1" x14ac:dyDescent="0.2">
      <c r="A610" s="5" t="s">
        <v>4231</v>
      </c>
      <c r="B610" s="5" t="s">
        <v>4215</v>
      </c>
      <c r="C610" s="5" t="s">
        <v>4232</v>
      </c>
      <c r="D610" s="5" t="s">
        <v>4233</v>
      </c>
      <c r="E610" s="8">
        <v>1</v>
      </c>
      <c r="F610" s="5" t="s">
        <v>150</v>
      </c>
      <c r="G610" s="5" t="s">
        <v>1350</v>
      </c>
      <c r="H610" s="5" t="s">
        <v>4234</v>
      </c>
      <c r="I610" s="5"/>
      <c r="J610" s="5" t="s">
        <v>308</v>
      </c>
      <c r="K610" s="5" t="s">
        <v>4219</v>
      </c>
      <c r="L610" s="5" t="s">
        <v>276</v>
      </c>
      <c r="M610" s="5" t="s">
        <v>851</v>
      </c>
    </row>
    <row r="611" spans="1:13" ht="50.1" customHeight="1" x14ac:dyDescent="0.2">
      <c r="A611" s="5" t="s">
        <v>4235</v>
      </c>
      <c r="B611" s="5" t="s">
        <v>4215</v>
      </c>
      <c r="C611" s="5" t="s">
        <v>4236</v>
      </c>
      <c r="D611" s="5" t="s">
        <v>4237</v>
      </c>
      <c r="E611" s="8">
        <v>1</v>
      </c>
      <c r="F611" s="5" t="s">
        <v>150</v>
      </c>
      <c r="G611" s="5" t="s">
        <v>1177</v>
      </c>
      <c r="H611" s="5" t="s">
        <v>4238</v>
      </c>
      <c r="I611" s="5"/>
      <c r="J611" s="5" t="s">
        <v>308</v>
      </c>
      <c r="K611" s="5" t="s">
        <v>4219</v>
      </c>
      <c r="L611" s="5" t="s">
        <v>276</v>
      </c>
      <c r="M611" s="5" t="s">
        <v>851</v>
      </c>
    </row>
    <row r="612" spans="1:13" ht="50.1" customHeight="1" x14ac:dyDescent="0.2">
      <c r="A612" s="5" t="s">
        <v>4239</v>
      </c>
      <c r="B612" s="5" t="s">
        <v>4215</v>
      </c>
      <c r="C612" s="5" t="s">
        <v>4240</v>
      </c>
      <c r="D612" s="5" t="s">
        <v>4241</v>
      </c>
      <c r="E612" s="8">
        <v>1</v>
      </c>
      <c r="F612" s="5" t="s">
        <v>150</v>
      </c>
      <c r="G612" s="5" t="s">
        <v>1177</v>
      </c>
      <c r="H612" s="5" t="s">
        <v>4242</v>
      </c>
      <c r="I612" s="5"/>
      <c r="J612" s="5" t="s">
        <v>308</v>
      </c>
      <c r="K612" s="5" t="s">
        <v>4219</v>
      </c>
      <c r="L612" s="5" t="s">
        <v>276</v>
      </c>
      <c r="M612" s="5" t="s">
        <v>851</v>
      </c>
    </row>
    <row r="613" spans="1:13" ht="50.1" customHeight="1" x14ac:dyDescent="0.2">
      <c r="A613" s="5" t="s">
        <v>4243</v>
      </c>
      <c r="B613" s="5" t="s">
        <v>4215</v>
      </c>
      <c r="C613" s="5" t="s">
        <v>4244</v>
      </c>
      <c r="D613" s="5" t="s">
        <v>4245</v>
      </c>
      <c r="E613" s="8">
        <v>1</v>
      </c>
      <c r="F613" s="5" t="s">
        <v>150</v>
      </c>
      <c r="G613" s="5" t="s">
        <v>1177</v>
      </c>
      <c r="H613" s="5" t="s">
        <v>4246</v>
      </c>
      <c r="I613" s="5"/>
      <c r="J613" s="5" t="s">
        <v>308</v>
      </c>
      <c r="K613" s="5" t="s">
        <v>4219</v>
      </c>
      <c r="L613" s="5" t="s">
        <v>276</v>
      </c>
      <c r="M613" s="5" t="s">
        <v>851</v>
      </c>
    </row>
    <row r="614" spans="1:13" ht="50.1" customHeight="1" x14ac:dyDescent="0.2">
      <c r="A614" s="5" t="s">
        <v>4065</v>
      </c>
      <c r="B614" s="5" t="s">
        <v>4215</v>
      </c>
      <c r="C614" s="5" t="s">
        <v>4247</v>
      </c>
      <c r="D614" s="5" t="s">
        <v>4248</v>
      </c>
      <c r="E614" s="8">
        <v>1</v>
      </c>
      <c r="F614" s="5" t="s">
        <v>150</v>
      </c>
      <c r="G614" s="5" t="s">
        <v>1272</v>
      </c>
      <c r="H614" s="5" t="s">
        <v>4249</v>
      </c>
      <c r="I614" s="5"/>
      <c r="J614" s="5" t="s">
        <v>308</v>
      </c>
      <c r="K614" s="5" t="s">
        <v>4219</v>
      </c>
      <c r="L614" s="5" t="s">
        <v>276</v>
      </c>
      <c r="M614" s="5" t="s">
        <v>851</v>
      </c>
    </row>
    <row r="615" spans="1:13" ht="50.1" customHeight="1" x14ac:dyDescent="0.2">
      <c r="A615" s="5" t="s">
        <v>4250</v>
      </c>
      <c r="B615" s="5" t="s">
        <v>4215</v>
      </c>
      <c r="C615" s="5" t="s">
        <v>4251</v>
      </c>
      <c r="D615" s="5" t="s">
        <v>4252</v>
      </c>
      <c r="E615" s="8">
        <v>1</v>
      </c>
      <c r="F615" s="5" t="s">
        <v>150</v>
      </c>
      <c r="G615" s="5" t="s">
        <v>1350</v>
      </c>
      <c r="H615" s="5" t="s">
        <v>4253</v>
      </c>
      <c r="I615" s="5"/>
      <c r="J615" s="5" t="s">
        <v>308</v>
      </c>
      <c r="K615" s="5" t="s">
        <v>4219</v>
      </c>
      <c r="L615" s="5" t="s">
        <v>276</v>
      </c>
      <c r="M615" s="5" t="s">
        <v>851</v>
      </c>
    </row>
    <row r="616" spans="1:13" ht="50.1" customHeight="1" x14ac:dyDescent="0.2">
      <c r="A616" s="5" t="s">
        <v>4254</v>
      </c>
      <c r="B616" s="5" t="s">
        <v>4255</v>
      </c>
      <c r="C616" s="5" t="s">
        <v>4256</v>
      </c>
      <c r="D616" s="5" t="s">
        <v>4257</v>
      </c>
      <c r="E616" s="8">
        <v>1</v>
      </c>
      <c r="F616" s="5" t="s">
        <v>150</v>
      </c>
      <c r="G616" s="5" t="s">
        <v>1177</v>
      </c>
      <c r="H616" s="5" t="s">
        <v>4258</v>
      </c>
      <c r="I616" s="5"/>
      <c r="J616" s="5" t="s">
        <v>313</v>
      </c>
      <c r="K616" s="5" t="s">
        <v>4259</v>
      </c>
      <c r="L616" s="5" t="s">
        <v>276</v>
      </c>
      <c r="M616" s="5" t="s">
        <v>851</v>
      </c>
    </row>
    <row r="617" spans="1:13" ht="50.1" customHeight="1" x14ac:dyDescent="0.2">
      <c r="A617" s="5" t="s">
        <v>4260</v>
      </c>
      <c r="B617" s="5" t="s">
        <v>4255</v>
      </c>
      <c r="C617" s="5" t="s">
        <v>4261</v>
      </c>
      <c r="D617" s="5" t="s">
        <v>4262</v>
      </c>
      <c r="E617" s="8">
        <v>1</v>
      </c>
      <c r="F617" s="5" t="s">
        <v>150</v>
      </c>
      <c r="G617" s="5" t="s">
        <v>1177</v>
      </c>
      <c r="H617" s="5" t="s">
        <v>4263</v>
      </c>
      <c r="I617" s="5"/>
      <c r="J617" s="5" t="s">
        <v>313</v>
      </c>
      <c r="K617" s="5" t="s">
        <v>4259</v>
      </c>
      <c r="L617" s="5" t="s">
        <v>276</v>
      </c>
      <c r="M617" s="5" t="s">
        <v>851</v>
      </c>
    </row>
    <row r="618" spans="1:13" ht="50.1" customHeight="1" x14ac:dyDescent="0.2">
      <c r="A618" s="5" t="s">
        <v>4264</v>
      </c>
      <c r="B618" s="5" t="s">
        <v>4255</v>
      </c>
      <c r="C618" s="5" t="s">
        <v>4265</v>
      </c>
      <c r="D618" s="5" t="s">
        <v>4266</v>
      </c>
      <c r="E618" s="8">
        <v>1</v>
      </c>
      <c r="F618" s="5" t="s">
        <v>150</v>
      </c>
      <c r="G618" s="5" t="s">
        <v>1177</v>
      </c>
      <c r="H618" s="5" t="s">
        <v>4267</v>
      </c>
      <c r="I618" s="5"/>
      <c r="J618" s="5" t="s">
        <v>313</v>
      </c>
      <c r="K618" s="5" t="s">
        <v>4259</v>
      </c>
      <c r="L618" s="5" t="s">
        <v>276</v>
      </c>
      <c r="M618" s="5" t="s">
        <v>851</v>
      </c>
    </row>
    <row r="619" spans="1:13" ht="50.1" customHeight="1" x14ac:dyDescent="0.2">
      <c r="A619" s="5" t="s">
        <v>4268</v>
      </c>
      <c r="B619" s="5" t="s">
        <v>4269</v>
      </c>
      <c r="C619" s="5" t="s">
        <v>4270</v>
      </c>
      <c r="D619" s="5" t="s">
        <v>4271</v>
      </c>
      <c r="E619" s="8">
        <v>1</v>
      </c>
      <c r="F619" s="5" t="s">
        <v>150</v>
      </c>
      <c r="G619" s="5" t="s">
        <v>935</v>
      </c>
      <c r="H619" s="5" t="s">
        <v>4272</v>
      </c>
      <c r="I619" s="5"/>
      <c r="J619" s="5" t="s">
        <v>317</v>
      </c>
      <c r="K619" s="5" t="s">
        <v>4273</v>
      </c>
      <c r="L619" s="5" t="s">
        <v>276</v>
      </c>
      <c r="M619" s="5" t="s">
        <v>851</v>
      </c>
    </row>
    <row r="620" spans="1:13" ht="50.1" customHeight="1" x14ac:dyDescent="0.2">
      <c r="A620" s="5" t="s">
        <v>4274</v>
      </c>
      <c r="B620" s="5" t="s">
        <v>4269</v>
      </c>
      <c r="C620" s="5" t="s">
        <v>4275</v>
      </c>
      <c r="D620" s="5" t="s">
        <v>4276</v>
      </c>
      <c r="E620" s="8">
        <v>1</v>
      </c>
      <c r="F620" s="5" t="s">
        <v>150</v>
      </c>
      <c r="G620" s="5" t="s">
        <v>1350</v>
      </c>
      <c r="H620" s="5" t="s">
        <v>4277</v>
      </c>
      <c r="I620" s="5"/>
      <c r="J620" s="5" t="s">
        <v>317</v>
      </c>
      <c r="K620" s="5" t="s">
        <v>4273</v>
      </c>
      <c r="L620" s="5" t="s">
        <v>276</v>
      </c>
      <c r="M620" s="5" t="s">
        <v>851</v>
      </c>
    </row>
    <row r="621" spans="1:13" ht="50.1" customHeight="1" x14ac:dyDescent="0.2">
      <c r="A621" s="5" t="s">
        <v>4278</v>
      </c>
      <c r="B621" s="5" t="s">
        <v>4269</v>
      </c>
      <c r="C621" s="5" t="s">
        <v>4279</v>
      </c>
      <c r="D621" s="5" t="s">
        <v>4280</v>
      </c>
      <c r="E621" s="8">
        <v>1</v>
      </c>
      <c r="F621" s="5" t="s">
        <v>150</v>
      </c>
      <c r="G621" s="5" t="s">
        <v>935</v>
      </c>
      <c r="H621" s="5" t="s">
        <v>4281</v>
      </c>
      <c r="I621" s="5"/>
      <c r="J621" s="5" t="s">
        <v>317</v>
      </c>
      <c r="K621" s="5" t="s">
        <v>4273</v>
      </c>
      <c r="L621" s="5" t="s">
        <v>276</v>
      </c>
      <c r="M621" s="5" t="s">
        <v>851</v>
      </c>
    </row>
    <row r="622" spans="1:13" ht="50.1" customHeight="1" x14ac:dyDescent="0.2">
      <c r="A622" s="5" t="s">
        <v>4282</v>
      </c>
      <c r="B622" s="5" t="s">
        <v>4269</v>
      </c>
      <c r="C622" s="5" t="s">
        <v>4283</v>
      </c>
      <c r="D622" s="5" t="s">
        <v>4284</v>
      </c>
      <c r="E622" s="8">
        <v>1</v>
      </c>
      <c r="F622" s="5" t="s">
        <v>150</v>
      </c>
      <c r="G622" s="5" t="s">
        <v>1350</v>
      </c>
      <c r="H622" s="5" t="s">
        <v>4285</v>
      </c>
      <c r="I622" s="5"/>
      <c r="J622" s="5" t="s">
        <v>317</v>
      </c>
      <c r="K622" s="5" t="s">
        <v>4273</v>
      </c>
      <c r="L622" s="5" t="s">
        <v>276</v>
      </c>
      <c r="M622" s="5" t="s">
        <v>851</v>
      </c>
    </row>
    <row r="623" spans="1:13" ht="50.1" customHeight="1" x14ac:dyDescent="0.2">
      <c r="A623" s="5" t="s">
        <v>4286</v>
      </c>
      <c r="B623" s="5" t="s">
        <v>4269</v>
      </c>
      <c r="C623" s="5" t="s">
        <v>4287</v>
      </c>
      <c r="D623" s="5" t="s">
        <v>4288</v>
      </c>
      <c r="E623" s="8">
        <v>1</v>
      </c>
      <c r="F623" s="5" t="s">
        <v>150</v>
      </c>
      <c r="G623" s="5" t="s">
        <v>935</v>
      </c>
      <c r="H623" s="5" t="s">
        <v>4289</v>
      </c>
      <c r="I623" s="5"/>
      <c r="J623" s="5" t="s">
        <v>317</v>
      </c>
      <c r="K623" s="5" t="s">
        <v>4273</v>
      </c>
      <c r="L623" s="5" t="s">
        <v>276</v>
      </c>
      <c r="M623" s="5" t="s">
        <v>851</v>
      </c>
    </row>
    <row r="624" spans="1:13" ht="50.1" customHeight="1" x14ac:dyDescent="0.2">
      <c r="A624" s="5" t="s">
        <v>4290</v>
      </c>
      <c r="B624" s="5" t="s">
        <v>4269</v>
      </c>
      <c r="C624" s="5" t="s">
        <v>4291</v>
      </c>
      <c r="D624" s="5" t="s">
        <v>4292</v>
      </c>
      <c r="E624" s="8">
        <v>1</v>
      </c>
      <c r="F624" s="5" t="s">
        <v>150</v>
      </c>
      <c r="G624" s="5" t="s">
        <v>1350</v>
      </c>
      <c r="H624" s="5" t="s">
        <v>4293</v>
      </c>
      <c r="I624" s="5"/>
      <c r="J624" s="5" t="s">
        <v>317</v>
      </c>
      <c r="K624" s="5" t="s">
        <v>4273</v>
      </c>
      <c r="L624" s="5" t="s">
        <v>276</v>
      </c>
      <c r="M624" s="5" t="s">
        <v>851</v>
      </c>
    </row>
    <row r="625" spans="1:13" ht="50.1" customHeight="1" x14ac:dyDescent="0.2">
      <c r="A625" s="5" t="s">
        <v>4294</v>
      </c>
      <c r="B625" s="5" t="s">
        <v>4269</v>
      </c>
      <c r="C625" s="5" t="s">
        <v>4295</v>
      </c>
      <c r="D625" s="5" t="s">
        <v>4296</v>
      </c>
      <c r="E625" s="8">
        <v>1</v>
      </c>
      <c r="F625" s="5" t="s">
        <v>150</v>
      </c>
      <c r="G625" s="5" t="s">
        <v>935</v>
      </c>
      <c r="H625" s="5" t="s">
        <v>4297</v>
      </c>
      <c r="I625" s="5"/>
      <c r="J625" s="5" t="s">
        <v>317</v>
      </c>
      <c r="K625" s="5" t="s">
        <v>4273</v>
      </c>
      <c r="L625" s="5" t="s">
        <v>276</v>
      </c>
      <c r="M625" s="5" t="s">
        <v>851</v>
      </c>
    </row>
    <row r="626" spans="1:13" ht="50.1" customHeight="1" x14ac:dyDescent="0.2">
      <c r="A626" s="5" t="s">
        <v>4298</v>
      </c>
      <c r="B626" s="5" t="s">
        <v>4269</v>
      </c>
      <c r="C626" s="5" t="s">
        <v>4299</v>
      </c>
      <c r="D626" s="5" t="s">
        <v>4300</v>
      </c>
      <c r="E626" s="8">
        <v>1</v>
      </c>
      <c r="F626" s="5" t="s">
        <v>150</v>
      </c>
      <c r="G626" s="5" t="s">
        <v>1350</v>
      </c>
      <c r="H626" s="5" t="s">
        <v>4301</v>
      </c>
      <c r="I626" s="5"/>
      <c r="J626" s="5" t="s">
        <v>317</v>
      </c>
      <c r="K626" s="5" t="s">
        <v>4273</v>
      </c>
      <c r="L626" s="5" t="s">
        <v>276</v>
      </c>
      <c r="M626" s="5" t="s">
        <v>851</v>
      </c>
    </row>
    <row r="627" spans="1:13" ht="50.1" customHeight="1" x14ac:dyDescent="0.2">
      <c r="A627" s="5" t="s">
        <v>4302</v>
      </c>
      <c r="B627" s="5" t="s">
        <v>4269</v>
      </c>
      <c r="C627" s="5" t="s">
        <v>4303</v>
      </c>
      <c r="D627" s="5" t="s">
        <v>4304</v>
      </c>
      <c r="E627" s="8">
        <v>1</v>
      </c>
      <c r="F627" s="5" t="s">
        <v>150</v>
      </c>
      <c r="G627" s="5" t="s">
        <v>935</v>
      </c>
      <c r="H627" s="5" t="s">
        <v>4305</v>
      </c>
      <c r="I627" s="5"/>
      <c r="J627" s="5" t="s">
        <v>317</v>
      </c>
      <c r="K627" s="5" t="s">
        <v>4273</v>
      </c>
      <c r="L627" s="5" t="s">
        <v>276</v>
      </c>
      <c r="M627" s="5" t="s">
        <v>851</v>
      </c>
    </row>
    <row r="628" spans="1:13" ht="50.1" customHeight="1" x14ac:dyDescent="0.2">
      <c r="A628" s="5" t="s">
        <v>4306</v>
      </c>
      <c r="B628" s="5" t="s">
        <v>4269</v>
      </c>
      <c r="C628" s="5" t="s">
        <v>4307</v>
      </c>
      <c r="D628" s="5" t="s">
        <v>4308</v>
      </c>
      <c r="E628" s="8">
        <v>1</v>
      </c>
      <c r="F628" s="5" t="s">
        <v>150</v>
      </c>
      <c r="G628" s="5" t="s">
        <v>1350</v>
      </c>
      <c r="H628" s="5" t="s">
        <v>4309</v>
      </c>
      <c r="I628" s="5"/>
      <c r="J628" s="5" t="s">
        <v>317</v>
      </c>
      <c r="K628" s="5" t="s">
        <v>4273</v>
      </c>
      <c r="L628" s="5" t="s">
        <v>276</v>
      </c>
      <c r="M628" s="5" t="s">
        <v>851</v>
      </c>
    </row>
    <row r="629" spans="1:13" ht="50.1" customHeight="1" x14ac:dyDescent="0.2">
      <c r="A629" s="5" t="s">
        <v>4310</v>
      </c>
      <c r="B629" s="5" t="s">
        <v>4269</v>
      </c>
      <c r="C629" s="5" t="s">
        <v>4311</v>
      </c>
      <c r="D629" s="5" t="s">
        <v>4312</v>
      </c>
      <c r="E629" s="8">
        <v>1</v>
      </c>
      <c r="F629" s="5" t="s">
        <v>150</v>
      </c>
      <c r="G629" s="5" t="s">
        <v>935</v>
      </c>
      <c r="H629" s="5" t="s">
        <v>4313</v>
      </c>
      <c r="I629" s="5"/>
      <c r="J629" s="5" t="s">
        <v>317</v>
      </c>
      <c r="K629" s="5" t="s">
        <v>4273</v>
      </c>
      <c r="L629" s="5" t="s">
        <v>276</v>
      </c>
      <c r="M629" s="5" t="s">
        <v>851</v>
      </c>
    </row>
    <row r="630" spans="1:13" ht="50.1" customHeight="1" x14ac:dyDescent="0.2">
      <c r="A630" s="5" t="s">
        <v>4314</v>
      </c>
      <c r="B630" s="5" t="s">
        <v>4269</v>
      </c>
      <c r="C630" s="5" t="s">
        <v>4315</v>
      </c>
      <c r="D630" s="5" t="s">
        <v>4316</v>
      </c>
      <c r="E630" s="8">
        <v>1</v>
      </c>
      <c r="F630" s="5" t="s">
        <v>150</v>
      </c>
      <c r="G630" s="5" t="s">
        <v>1350</v>
      </c>
      <c r="H630" s="5" t="s">
        <v>4317</v>
      </c>
      <c r="I630" s="5"/>
      <c r="J630" s="5" t="s">
        <v>317</v>
      </c>
      <c r="K630" s="5" t="s">
        <v>4273</v>
      </c>
      <c r="L630" s="5" t="s">
        <v>276</v>
      </c>
      <c r="M630" s="5" t="s">
        <v>851</v>
      </c>
    </row>
    <row r="631" spans="1:13" ht="50.1" customHeight="1" x14ac:dyDescent="0.2">
      <c r="A631" s="5" t="s">
        <v>4318</v>
      </c>
      <c r="B631" s="5" t="s">
        <v>4269</v>
      </c>
      <c r="C631" s="5" t="s">
        <v>4319</v>
      </c>
      <c r="D631" s="5" t="s">
        <v>4320</v>
      </c>
      <c r="E631" s="8">
        <v>1</v>
      </c>
      <c r="F631" s="5" t="s">
        <v>150</v>
      </c>
      <c r="G631" s="5" t="s">
        <v>935</v>
      </c>
      <c r="H631" s="5" t="s">
        <v>4321</v>
      </c>
      <c r="I631" s="5"/>
      <c r="J631" s="5" t="s">
        <v>317</v>
      </c>
      <c r="K631" s="5" t="s">
        <v>4273</v>
      </c>
      <c r="L631" s="5" t="s">
        <v>276</v>
      </c>
      <c r="M631" s="5" t="s">
        <v>851</v>
      </c>
    </row>
    <row r="632" spans="1:13" ht="50.1" customHeight="1" x14ac:dyDescent="0.2">
      <c r="A632" s="5" t="s">
        <v>4322</v>
      </c>
      <c r="B632" s="5" t="s">
        <v>4269</v>
      </c>
      <c r="C632" s="5" t="s">
        <v>4323</v>
      </c>
      <c r="D632" s="5" t="s">
        <v>4324</v>
      </c>
      <c r="E632" s="8">
        <v>1</v>
      </c>
      <c r="F632" s="5" t="s">
        <v>150</v>
      </c>
      <c r="G632" s="5" t="s">
        <v>1350</v>
      </c>
      <c r="H632" s="5" t="s">
        <v>4325</v>
      </c>
      <c r="I632" s="5"/>
      <c r="J632" s="5" t="s">
        <v>317</v>
      </c>
      <c r="K632" s="5" t="s">
        <v>4273</v>
      </c>
      <c r="L632" s="5" t="s">
        <v>276</v>
      </c>
      <c r="M632" s="5" t="s">
        <v>851</v>
      </c>
    </row>
    <row r="633" spans="1:13" ht="50.1" customHeight="1" x14ac:dyDescent="0.2">
      <c r="A633" s="5" t="s">
        <v>4326</v>
      </c>
      <c r="B633" s="5" t="s">
        <v>4269</v>
      </c>
      <c r="C633" s="5" t="s">
        <v>4327</v>
      </c>
      <c r="D633" s="5" t="s">
        <v>4328</v>
      </c>
      <c r="E633" s="8">
        <v>1</v>
      </c>
      <c r="F633" s="5" t="s">
        <v>150</v>
      </c>
      <c r="G633" s="5" t="s">
        <v>935</v>
      </c>
      <c r="H633" s="5" t="s">
        <v>4329</v>
      </c>
      <c r="I633" s="5"/>
      <c r="J633" s="5" t="s">
        <v>317</v>
      </c>
      <c r="K633" s="5" t="s">
        <v>4273</v>
      </c>
      <c r="L633" s="5" t="s">
        <v>276</v>
      </c>
      <c r="M633" s="5" t="s">
        <v>851</v>
      </c>
    </row>
    <row r="634" spans="1:13" ht="50.1" customHeight="1" x14ac:dyDescent="0.2">
      <c r="A634" s="5" t="s">
        <v>4330</v>
      </c>
      <c r="B634" s="5" t="s">
        <v>4269</v>
      </c>
      <c r="C634" s="5" t="s">
        <v>4331</v>
      </c>
      <c r="D634" s="5" t="s">
        <v>4332</v>
      </c>
      <c r="E634" s="8">
        <v>1</v>
      </c>
      <c r="F634" s="5" t="s">
        <v>150</v>
      </c>
      <c r="G634" s="5" t="s">
        <v>1350</v>
      </c>
      <c r="H634" s="5" t="s">
        <v>4333</v>
      </c>
      <c r="I634" s="5"/>
      <c r="J634" s="5" t="s">
        <v>317</v>
      </c>
      <c r="K634" s="5" t="s">
        <v>4273</v>
      </c>
      <c r="L634" s="5" t="s">
        <v>276</v>
      </c>
      <c r="M634" s="5" t="s">
        <v>851</v>
      </c>
    </row>
    <row r="635" spans="1:13" ht="50.1" customHeight="1" x14ac:dyDescent="0.2">
      <c r="A635" s="5" t="s">
        <v>4334</v>
      </c>
      <c r="B635" s="5" t="s">
        <v>4269</v>
      </c>
      <c r="C635" s="5" t="s">
        <v>4335</v>
      </c>
      <c r="D635" s="5" t="s">
        <v>4336</v>
      </c>
      <c r="E635" s="8">
        <v>1</v>
      </c>
      <c r="F635" s="5" t="s">
        <v>150</v>
      </c>
      <c r="G635" s="5" t="s">
        <v>935</v>
      </c>
      <c r="H635" s="5" t="s">
        <v>4337</v>
      </c>
      <c r="I635" s="5"/>
      <c r="J635" s="5" t="s">
        <v>317</v>
      </c>
      <c r="K635" s="5" t="s">
        <v>4273</v>
      </c>
      <c r="L635" s="5" t="s">
        <v>276</v>
      </c>
      <c r="M635" s="5" t="s">
        <v>851</v>
      </c>
    </row>
    <row r="636" spans="1:13" ht="50.1" customHeight="1" x14ac:dyDescent="0.2">
      <c r="A636" s="5" t="s">
        <v>4338</v>
      </c>
      <c r="B636" s="5" t="s">
        <v>4269</v>
      </c>
      <c r="C636" s="5" t="s">
        <v>4339</v>
      </c>
      <c r="D636" s="5" t="s">
        <v>4340</v>
      </c>
      <c r="E636" s="8">
        <v>1</v>
      </c>
      <c r="F636" s="5" t="s">
        <v>150</v>
      </c>
      <c r="G636" s="5" t="s">
        <v>1350</v>
      </c>
      <c r="H636" s="5" t="s">
        <v>4341</v>
      </c>
      <c r="I636" s="5"/>
      <c r="J636" s="5" t="s">
        <v>317</v>
      </c>
      <c r="K636" s="5" t="s">
        <v>4273</v>
      </c>
      <c r="L636" s="5" t="s">
        <v>276</v>
      </c>
      <c r="M636" s="5" t="s">
        <v>851</v>
      </c>
    </row>
    <row r="637" spans="1:13" ht="50.1" customHeight="1" x14ac:dyDescent="0.2">
      <c r="A637" s="5" t="s">
        <v>4342</v>
      </c>
      <c r="B637" s="5" t="s">
        <v>4269</v>
      </c>
      <c r="C637" s="5" t="s">
        <v>4343</v>
      </c>
      <c r="D637" s="5" t="s">
        <v>4344</v>
      </c>
      <c r="E637" s="8">
        <v>1</v>
      </c>
      <c r="F637" s="5" t="s">
        <v>150</v>
      </c>
      <c r="G637" s="5" t="s">
        <v>935</v>
      </c>
      <c r="H637" s="5" t="s">
        <v>4345</v>
      </c>
      <c r="I637" s="5"/>
      <c r="J637" s="5" t="s">
        <v>317</v>
      </c>
      <c r="K637" s="5" t="s">
        <v>4273</v>
      </c>
      <c r="L637" s="5" t="s">
        <v>276</v>
      </c>
      <c r="M637" s="5" t="s">
        <v>851</v>
      </c>
    </row>
    <row r="638" spans="1:13" ht="50.1" customHeight="1" x14ac:dyDescent="0.2">
      <c r="A638" s="5" t="s">
        <v>4346</v>
      </c>
      <c r="B638" s="5" t="s">
        <v>4269</v>
      </c>
      <c r="C638" s="5" t="s">
        <v>4347</v>
      </c>
      <c r="D638" s="5" t="s">
        <v>4348</v>
      </c>
      <c r="E638" s="8">
        <v>1</v>
      </c>
      <c r="F638" s="5" t="s">
        <v>150</v>
      </c>
      <c r="G638" s="5" t="s">
        <v>1350</v>
      </c>
      <c r="H638" s="5" t="s">
        <v>4349</v>
      </c>
      <c r="I638" s="5"/>
      <c r="J638" s="5" t="s">
        <v>317</v>
      </c>
      <c r="K638" s="5" t="s">
        <v>4273</v>
      </c>
      <c r="L638" s="5" t="s">
        <v>276</v>
      </c>
      <c r="M638" s="5" t="s">
        <v>851</v>
      </c>
    </row>
    <row r="639" spans="1:13" ht="50.1" customHeight="1" x14ac:dyDescent="0.2">
      <c r="A639" s="5" t="s">
        <v>4350</v>
      </c>
      <c r="B639" s="5" t="s">
        <v>4269</v>
      </c>
      <c r="C639" s="5" t="s">
        <v>4351</v>
      </c>
      <c r="D639" s="5" t="s">
        <v>4352</v>
      </c>
      <c r="E639" s="8">
        <v>1</v>
      </c>
      <c r="F639" s="5" t="s">
        <v>150</v>
      </c>
      <c r="G639" s="5" t="s">
        <v>935</v>
      </c>
      <c r="H639" s="5" t="s">
        <v>4353</v>
      </c>
      <c r="I639" s="5"/>
      <c r="J639" s="5" t="s">
        <v>317</v>
      </c>
      <c r="K639" s="5" t="s">
        <v>4273</v>
      </c>
      <c r="L639" s="5" t="s">
        <v>276</v>
      </c>
      <c r="M639" s="5" t="s">
        <v>851</v>
      </c>
    </row>
    <row r="640" spans="1:13" ht="50.1" customHeight="1" x14ac:dyDescent="0.2">
      <c r="A640" s="5" t="s">
        <v>4354</v>
      </c>
      <c r="B640" s="5" t="s">
        <v>4269</v>
      </c>
      <c r="C640" s="5" t="s">
        <v>4355</v>
      </c>
      <c r="D640" s="5" t="s">
        <v>4356</v>
      </c>
      <c r="E640" s="8">
        <v>1</v>
      </c>
      <c r="F640" s="5" t="s">
        <v>150</v>
      </c>
      <c r="G640" s="5" t="s">
        <v>1350</v>
      </c>
      <c r="H640" s="5" t="s">
        <v>4357</v>
      </c>
      <c r="I640" s="5"/>
      <c r="J640" s="5" t="s">
        <v>317</v>
      </c>
      <c r="K640" s="5" t="s">
        <v>4273</v>
      </c>
      <c r="L640" s="5" t="s">
        <v>276</v>
      </c>
      <c r="M640" s="5" t="s">
        <v>851</v>
      </c>
    </row>
    <row r="641" spans="1:13" ht="50.1" customHeight="1" x14ac:dyDescent="0.2">
      <c r="A641" s="5" t="s">
        <v>4358</v>
      </c>
      <c r="B641" s="5" t="s">
        <v>4269</v>
      </c>
      <c r="C641" s="5" t="s">
        <v>4359</v>
      </c>
      <c r="D641" s="5" t="s">
        <v>4360</v>
      </c>
      <c r="E641" s="8">
        <v>1</v>
      </c>
      <c r="F641" s="5" t="s">
        <v>150</v>
      </c>
      <c r="G641" s="5" t="s">
        <v>935</v>
      </c>
      <c r="H641" s="5" t="s">
        <v>4361</v>
      </c>
      <c r="I641" s="5"/>
      <c r="J641" s="5" t="s">
        <v>317</v>
      </c>
      <c r="K641" s="5" t="s">
        <v>4273</v>
      </c>
      <c r="L641" s="5" t="s">
        <v>276</v>
      </c>
      <c r="M641" s="5" t="s">
        <v>851</v>
      </c>
    </row>
    <row r="642" spans="1:13" ht="50.1" customHeight="1" x14ac:dyDescent="0.2">
      <c r="A642" s="5" t="s">
        <v>4362</v>
      </c>
      <c r="B642" s="5" t="s">
        <v>4269</v>
      </c>
      <c r="C642" s="5" t="s">
        <v>4363</v>
      </c>
      <c r="D642" s="5" t="s">
        <v>4364</v>
      </c>
      <c r="E642" s="8">
        <v>1</v>
      </c>
      <c r="F642" s="5" t="s">
        <v>150</v>
      </c>
      <c r="G642" s="5" t="s">
        <v>1350</v>
      </c>
      <c r="H642" s="5" t="s">
        <v>4365</v>
      </c>
      <c r="I642" s="5"/>
      <c r="J642" s="5" t="s">
        <v>317</v>
      </c>
      <c r="K642" s="5" t="s">
        <v>4273</v>
      </c>
      <c r="L642" s="5" t="s">
        <v>276</v>
      </c>
      <c r="M642" s="5" t="s">
        <v>851</v>
      </c>
    </row>
    <row r="643" spans="1:13" ht="50.1" customHeight="1" x14ac:dyDescent="0.2">
      <c r="A643" s="5" t="s">
        <v>4366</v>
      </c>
      <c r="B643" s="5" t="s">
        <v>4269</v>
      </c>
      <c r="C643" s="5" t="s">
        <v>4367</v>
      </c>
      <c r="D643" s="5" t="s">
        <v>4368</v>
      </c>
      <c r="E643" s="8">
        <v>1</v>
      </c>
      <c r="F643" s="5" t="s">
        <v>150</v>
      </c>
      <c r="G643" s="5" t="s">
        <v>1177</v>
      </c>
      <c r="H643" s="5" t="s">
        <v>154</v>
      </c>
      <c r="I643" s="5"/>
      <c r="J643" s="5" t="s">
        <v>317</v>
      </c>
      <c r="K643" s="5" t="s">
        <v>4273</v>
      </c>
      <c r="L643" s="5" t="s">
        <v>276</v>
      </c>
      <c r="M643" s="5" t="s">
        <v>851</v>
      </c>
    </row>
    <row r="644" spans="1:13" ht="50.1" customHeight="1" x14ac:dyDescent="0.2">
      <c r="A644" s="5" t="s">
        <v>4369</v>
      </c>
      <c r="B644" s="5" t="s">
        <v>4269</v>
      </c>
      <c r="C644" s="5" t="s">
        <v>4370</v>
      </c>
      <c r="D644" s="5" t="s">
        <v>4371</v>
      </c>
      <c r="E644" s="8">
        <v>1</v>
      </c>
      <c r="F644" s="5" t="s">
        <v>150</v>
      </c>
      <c r="G644" s="5" t="s">
        <v>1177</v>
      </c>
      <c r="H644" s="5" t="s">
        <v>4372</v>
      </c>
      <c r="I644" s="5"/>
      <c r="J644" s="5" t="s">
        <v>317</v>
      </c>
      <c r="K644" s="5" t="s">
        <v>4273</v>
      </c>
      <c r="L644" s="5" t="s">
        <v>276</v>
      </c>
      <c r="M644" s="5" t="s">
        <v>851</v>
      </c>
    </row>
    <row r="645" spans="1:13" ht="50.1" customHeight="1" x14ac:dyDescent="0.2">
      <c r="A645" s="5" t="s">
        <v>4373</v>
      </c>
      <c r="B645" s="5" t="s">
        <v>4269</v>
      </c>
      <c r="C645" s="5" t="s">
        <v>4374</v>
      </c>
      <c r="D645" s="5" t="s">
        <v>4375</v>
      </c>
      <c r="E645" s="8">
        <v>1</v>
      </c>
      <c r="F645" s="5" t="s">
        <v>150</v>
      </c>
      <c r="G645" s="5" t="s">
        <v>1177</v>
      </c>
      <c r="H645" s="5" t="s">
        <v>4376</v>
      </c>
      <c r="I645" s="5"/>
      <c r="J645" s="5" t="s">
        <v>317</v>
      </c>
      <c r="K645" s="5" t="s">
        <v>4273</v>
      </c>
      <c r="L645" s="5" t="s">
        <v>276</v>
      </c>
      <c r="M645" s="5" t="s">
        <v>851</v>
      </c>
    </row>
    <row r="646" spans="1:13" ht="50.1" customHeight="1" x14ac:dyDescent="0.2">
      <c r="A646" s="5" t="s">
        <v>4377</v>
      </c>
      <c r="B646" s="5" t="s">
        <v>4269</v>
      </c>
      <c r="C646" s="5" t="s">
        <v>4378</v>
      </c>
      <c r="D646" s="5" t="s">
        <v>4379</v>
      </c>
      <c r="E646" s="8">
        <v>1</v>
      </c>
      <c r="F646" s="5" t="s">
        <v>150</v>
      </c>
      <c r="G646" s="5" t="s">
        <v>1177</v>
      </c>
      <c r="H646" s="5" t="s">
        <v>4380</v>
      </c>
      <c r="I646" s="5"/>
      <c r="J646" s="5" t="s">
        <v>317</v>
      </c>
      <c r="K646" s="5" t="s">
        <v>4273</v>
      </c>
      <c r="L646" s="5" t="s">
        <v>276</v>
      </c>
      <c r="M646" s="5" t="s">
        <v>851</v>
      </c>
    </row>
    <row r="647" spans="1:13" ht="50.1" customHeight="1" x14ac:dyDescent="0.2">
      <c r="A647" s="5" t="s">
        <v>4381</v>
      </c>
      <c r="B647" s="5" t="s">
        <v>4269</v>
      </c>
      <c r="C647" s="5" t="s">
        <v>4382</v>
      </c>
      <c r="D647" s="5" t="s">
        <v>4383</v>
      </c>
      <c r="E647" s="8">
        <v>1</v>
      </c>
      <c r="F647" s="5" t="s">
        <v>150</v>
      </c>
      <c r="G647" s="5" t="s">
        <v>1177</v>
      </c>
      <c r="H647" s="5" t="s">
        <v>4384</v>
      </c>
      <c r="I647" s="5"/>
      <c r="J647" s="5" t="s">
        <v>317</v>
      </c>
      <c r="K647" s="5" t="s">
        <v>4273</v>
      </c>
      <c r="L647" s="5" t="s">
        <v>276</v>
      </c>
      <c r="M647" s="5" t="s">
        <v>851</v>
      </c>
    </row>
    <row r="648" spans="1:13" ht="50.1" customHeight="1" x14ac:dyDescent="0.2">
      <c r="A648" s="5" t="s">
        <v>4385</v>
      </c>
      <c r="B648" s="5" t="s">
        <v>4386</v>
      </c>
      <c r="C648" s="5" t="s">
        <v>4387</v>
      </c>
      <c r="D648" s="5" t="s">
        <v>4388</v>
      </c>
      <c r="E648" s="8">
        <v>1</v>
      </c>
      <c r="F648" s="5" t="s">
        <v>150</v>
      </c>
      <c r="G648" s="5" t="s">
        <v>1177</v>
      </c>
      <c r="H648" s="5" t="s">
        <v>4389</v>
      </c>
      <c r="I648" s="5"/>
      <c r="J648" s="5" t="s">
        <v>153</v>
      </c>
      <c r="K648" s="5" t="s">
        <v>4390</v>
      </c>
      <c r="L648" s="5" t="s">
        <v>276</v>
      </c>
      <c r="M648" s="5" t="s">
        <v>851</v>
      </c>
    </row>
    <row r="649" spans="1:13" ht="50.1" customHeight="1" x14ac:dyDescent="0.2">
      <c r="A649" s="5" t="s">
        <v>4391</v>
      </c>
      <c r="B649" s="5" t="s">
        <v>4386</v>
      </c>
      <c r="C649" s="5" t="s">
        <v>4392</v>
      </c>
      <c r="D649" s="5" t="s">
        <v>4393</v>
      </c>
      <c r="E649" s="8">
        <v>1</v>
      </c>
      <c r="F649" s="5" t="s">
        <v>150</v>
      </c>
      <c r="G649" s="5" t="s">
        <v>1177</v>
      </c>
      <c r="H649" s="5" t="s">
        <v>4394</v>
      </c>
      <c r="I649" s="5"/>
      <c r="J649" s="5" t="s">
        <v>153</v>
      </c>
      <c r="K649" s="5" t="s">
        <v>4390</v>
      </c>
      <c r="L649" s="5" t="s">
        <v>276</v>
      </c>
      <c r="M649" s="5" t="s">
        <v>851</v>
      </c>
    </row>
    <row r="650" spans="1:13" ht="50.1" customHeight="1" x14ac:dyDescent="0.2">
      <c r="A650" s="5" t="s">
        <v>4395</v>
      </c>
      <c r="B650" s="5" t="s">
        <v>4386</v>
      </c>
      <c r="C650" s="5" t="s">
        <v>4396</v>
      </c>
      <c r="D650" s="5" t="s">
        <v>4397</v>
      </c>
      <c r="E650" s="8">
        <v>1</v>
      </c>
      <c r="F650" s="5" t="s">
        <v>150</v>
      </c>
      <c r="G650" s="5" t="s">
        <v>1793</v>
      </c>
      <c r="H650" s="5" t="s">
        <v>155</v>
      </c>
      <c r="I650" s="5"/>
      <c r="J650" s="5" t="s">
        <v>153</v>
      </c>
      <c r="K650" s="5" t="s">
        <v>4390</v>
      </c>
      <c r="L650" s="5" t="s">
        <v>276</v>
      </c>
      <c r="M650" s="5" t="s">
        <v>851</v>
      </c>
    </row>
  </sheetData>
  <dataValidations count="7">
    <dataValidation type="whole" sqref="E7:E1200" xr:uid="{00000000-0002-0000-0700-000000000000}">
      <formula1>0</formula1>
      <formula2>1000000</formula2>
    </dataValidation>
    <dataValidation type="list" sqref="F7:F1200" xr:uid="{00000000-0002-0000-0700-000001000000}">
      <formula1>og_list_9</formula1>
    </dataValidation>
    <dataValidation type="list" sqref="G7:G1200" xr:uid="{00000000-0002-0000-0700-000002000000}">
      <formula1>og_list_11</formula1>
    </dataValidation>
    <dataValidation type="list" sqref="I7:I1200" xr:uid="{00000000-0002-0000-0700-000003000000}">
      <formula1>og_list_8</formula1>
    </dataValidation>
    <dataValidation type="list" sqref="J7:J1200" xr:uid="{00000000-0002-0000-0700-000004000000}">
      <formula1>og_list_3</formula1>
    </dataValidation>
    <dataValidation type="list" sqref="L7:L1200" xr:uid="{00000000-0002-0000-0700-000005000000}">
      <formula1>"CONTEMPORANEOUS,IMPORTED,RECONSTRUCTED"</formula1>
    </dataValidation>
    <dataValidation type="list" sqref="M7:M1200" xr:uid="{00000000-0002-0000-0700-000006000000}">
      <formula1>"KEEP AS REFERENCE,COPY AS STARTER,CLEAR"</formula1>
    </dataValidation>
  </dataValidations>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7E8F9"/>
  </sheetPr>
  <dimension ref="A1:K10"/>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8" width="29.0546875" customWidth="1"/>
    <col min="9" max="9" width="48.0234375" customWidth="1"/>
    <col min="10" max="10" width="29.0546875" customWidth="1"/>
    <col min="11" max="11" width="48.0234375" customWidth="1"/>
  </cols>
  <sheetData>
    <row r="1" spans="1:11" ht="21.75" x14ac:dyDescent="0.25">
      <c r="A1" s="3" t="s">
        <v>4398</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853</v>
      </c>
      <c r="B3" s="2"/>
      <c r="C3" s="2"/>
      <c r="D3" s="2"/>
      <c r="E3" s="2"/>
      <c r="F3" s="2"/>
      <c r="G3" s="2"/>
      <c r="H3" s="2"/>
      <c r="I3" s="2"/>
      <c r="J3" s="2"/>
      <c r="K3" s="2"/>
    </row>
    <row r="4" spans="1:11" ht="16.5" x14ac:dyDescent="0.2">
      <c r="A4" s="4" t="str">
        <f>HYPERLINK("#'Field Dictionary'!A73","📚🔎 - 1 - SHORT TEXT")</f>
        <v>📚🔎 - 1 - SHORT TEXT</v>
      </c>
      <c r="B4" s="4" t="str">
        <f>HYPERLINK("#'Field Dictionary'!A74","📚🔎 - 2 - LONG TEXT")</f>
        <v>📚🔎 - 2 - LONG TEXT</v>
      </c>
      <c r="C4" s="4" t="str">
        <f>HYPERLINK("#'Field Dictionary'!A75","📚🔎 - 3 - SHORT TEXT")</f>
        <v>📚🔎 - 3 - SHORT TEXT</v>
      </c>
      <c r="D4" s="4" t="str">
        <f>HYPERLINK("#'Field Dictionary'!A76","📚🔎 - 4 - LINKED RECORD")</f>
        <v>📚🔎 - 4 - LINKED RECORD</v>
      </c>
      <c r="E4" s="4" t="str">
        <f>HYPERLINK("#'Field Dictionary'!A77","📚🔎 - 5 - SINGLE SELECT")</f>
        <v>📚🔎 - 5 - SINGLE SELECT</v>
      </c>
      <c r="F4" s="4" t="str">
        <f>HYPERLINK("#'Field Dictionary'!A78","📚🔎 - 6 - LINKED RECORD")</f>
        <v>📚🔎 - 6 - LINKED RECORD</v>
      </c>
      <c r="G4" s="4" t="str">
        <f>HYPERLINK("#'Field Dictionary'!A79","📚🔎 - 7 - URL")</f>
        <v>📚🔎 - 7 - URL</v>
      </c>
      <c r="H4" s="4" t="str">
        <f>HYPERLINK("#'Field Dictionary'!A80","📚🔎 - 8 - SHORT TEXT")</f>
        <v>📚🔎 - 8 - SHORT TEXT</v>
      </c>
      <c r="I4" s="4" t="str">
        <f>HYPERLINK("#'Field Dictionary'!A81","📚🔎 - 9 - LONG TEXT")</f>
        <v>📚🔎 - 9 - LONG TEXT</v>
      </c>
      <c r="J4" s="4" t="str">
        <f>HYPERLINK("#'Field Dictionary'!A82","📚🔎 - 10 - SINGLE SELECT")</f>
        <v>📚🔎 - 10 - SINGLE SELECT</v>
      </c>
      <c r="K4" s="4" t="str">
        <f>HYPERLINK("#'Field Dictionary'!A83","📚🔎 - 11 - LONG TEXT")</f>
        <v>📚🔎 - 11 - LONG TEXT</v>
      </c>
    </row>
    <row r="5" spans="1:11" ht="38.1" customHeight="1" x14ac:dyDescent="0.2">
      <c r="A5" s="7" t="s">
        <v>100</v>
      </c>
      <c r="B5" s="7" t="s">
        <v>101</v>
      </c>
      <c r="C5" s="7" t="s">
        <v>102</v>
      </c>
      <c r="D5" s="7" t="s">
        <v>158</v>
      </c>
      <c r="E5" s="7" t="s">
        <v>4399</v>
      </c>
      <c r="F5" s="7" t="s">
        <v>4400</v>
      </c>
      <c r="G5" s="7" t="s">
        <v>4401</v>
      </c>
      <c r="H5" s="7" t="s">
        <v>4402</v>
      </c>
      <c r="I5" s="7" t="s">
        <v>4403</v>
      </c>
      <c r="J5" s="7" t="s">
        <v>4404</v>
      </c>
      <c r="K5" s="7" t="s">
        <v>4405</v>
      </c>
    </row>
    <row r="6" spans="1:11" ht="38.1" customHeight="1" x14ac:dyDescent="0.2">
      <c r="A6" s="7" t="s">
        <v>115</v>
      </c>
      <c r="B6" s="7" t="s">
        <v>116</v>
      </c>
      <c r="C6" s="7" t="s">
        <v>117</v>
      </c>
      <c r="D6" s="7" t="s">
        <v>167</v>
      </c>
      <c r="E6" s="7" t="s">
        <v>4406</v>
      </c>
      <c r="F6" s="7" t="s">
        <v>4407</v>
      </c>
      <c r="G6" s="7" t="s">
        <v>4408</v>
      </c>
      <c r="H6" s="7" t="s">
        <v>4409</v>
      </c>
      <c r="I6" s="7" t="s">
        <v>4410</v>
      </c>
      <c r="J6" s="7" t="s">
        <v>4411</v>
      </c>
      <c r="K6" s="7" t="s">
        <v>4412</v>
      </c>
    </row>
    <row r="7" spans="1:11" ht="50.1" customHeight="1" x14ac:dyDescent="0.2">
      <c r="A7" s="5" t="s">
        <v>3565</v>
      </c>
      <c r="B7" s="5" t="s">
        <v>3566</v>
      </c>
      <c r="C7" s="5" t="s">
        <v>3569</v>
      </c>
      <c r="D7" s="5" t="s">
        <v>3567</v>
      </c>
      <c r="E7" s="5" t="s">
        <v>4413</v>
      </c>
      <c r="F7" s="5" t="s">
        <v>3559</v>
      </c>
      <c r="G7" s="5"/>
      <c r="H7" s="5" t="s">
        <v>4414</v>
      </c>
      <c r="I7" s="5" t="s">
        <v>4415</v>
      </c>
      <c r="J7" s="5" t="s">
        <v>4416</v>
      </c>
      <c r="K7" s="5" t="s">
        <v>4417</v>
      </c>
    </row>
    <row r="8" spans="1:11" ht="50.1" customHeight="1" x14ac:dyDescent="0.2">
      <c r="A8" s="5" t="s">
        <v>3897</v>
      </c>
      <c r="B8" s="5" t="s">
        <v>264</v>
      </c>
      <c r="C8" s="5" t="s">
        <v>3897</v>
      </c>
      <c r="D8" s="5" t="s">
        <v>3898</v>
      </c>
      <c r="E8" s="5" t="s">
        <v>4413</v>
      </c>
      <c r="F8" s="5" t="s">
        <v>3883</v>
      </c>
      <c r="G8" s="5"/>
      <c r="H8" s="5" t="s">
        <v>4418</v>
      </c>
      <c r="I8" s="5" t="s">
        <v>4419</v>
      </c>
      <c r="J8" s="5" t="s">
        <v>922</v>
      </c>
      <c r="K8" s="5" t="s">
        <v>4420</v>
      </c>
    </row>
    <row r="9" spans="1:11" ht="57" customHeight="1" x14ac:dyDescent="0.2">
      <c r="A9" s="5" t="s">
        <v>3900</v>
      </c>
      <c r="B9" s="5" t="s">
        <v>264</v>
      </c>
      <c r="C9" s="5" t="s">
        <v>3900</v>
      </c>
      <c r="D9" s="5" t="s">
        <v>3901</v>
      </c>
      <c r="E9" s="5" t="s">
        <v>885</v>
      </c>
      <c r="F9" s="5" t="s">
        <v>3888</v>
      </c>
      <c r="G9" s="5"/>
      <c r="H9" s="5" t="s">
        <v>4418</v>
      </c>
      <c r="I9" s="5" t="s">
        <v>4421</v>
      </c>
      <c r="J9" s="5" t="s">
        <v>4416</v>
      </c>
      <c r="K9" s="5" t="s">
        <v>4420</v>
      </c>
    </row>
    <row r="10" spans="1:11" ht="57" customHeight="1" x14ac:dyDescent="0.2">
      <c r="A10" s="5" t="s">
        <v>3903</v>
      </c>
      <c r="B10" s="5" t="s">
        <v>264</v>
      </c>
      <c r="C10" s="5" t="s">
        <v>3903</v>
      </c>
      <c r="D10" s="5" t="s">
        <v>3904</v>
      </c>
      <c r="E10" s="5" t="s">
        <v>4422</v>
      </c>
      <c r="F10" s="5" t="s">
        <v>3892</v>
      </c>
      <c r="G10" s="5"/>
      <c r="H10" s="5" t="s">
        <v>4418</v>
      </c>
      <c r="I10" s="5" t="s">
        <v>4423</v>
      </c>
      <c r="J10" s="5" t="s">
        <v>922</v>
      </c>
      <c r="K10" s="5" t="s">
        <v>4420</v>
      </c>
    </row>
  </sheetData>
  <conditionalFormatting sqref="K7:K1200">
    <cfRule type="containsText" dxfId="9" priority="1" operator="containsText" text="BLOCK"/>
  </conditionalFormatting>
  <dataValidations count="4">
    <dataValidation type="list" sqref="D7:D1200" xr:uid="{00000000-0002-0000-0800-000000000000}">
      <formula1>og_list_8</formula1>
    </dataValidation>
    <dataValidation type="list" sqref="E7:E1200" xr:uid="{00000000-0002-0000-0800-000001000000}">
      <formula1>"DOCUMENT,DATASET,WEB PAGE,CONVERSATION,OTHER"</formula1>
    </dataValidation>
    <dataValidation type="list" sqref="F7:F1200" xr:uid="{00000000-0002-0000-0800-000002000000}">
      <formula1>og_list_4</formula1>
    </dataValidation>
    <dataValidation type="list" sqref="J7:J1200" xr:uid="{00000000-0002-0000-0800-000003000000}">
      <formula1>"GOVERNING,SUPPORTING,EXAMPLE"</formula1>
    </dataValidation>
  </dataValidations>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67E8F9"/>
  </sheetPr>
  <dimension ref="A1:K38"/>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7" width="18.0234375" customWidth="1"/>
    <col min="8" max="9" width="48.0234375" customWidth="1"/>
    <col min="10" max="10" width="29.0546875" customWidth="1"/>
    <col min="11" max="11" width="48.0234375" customWidth="1"/>
  </cols>
  <sheetData>
    <row r="1" spans="1:11" ht="21.75" x14ac:dyDescent="0.25">
      <c r="A1" s="3" t="s">
        <v>4424</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932</v>
      </c>
      <c r="B3" s="2"/>
      <c r="C3" s="2"/>
      <c r="D3" s="2"/>
      <c r="E3" s="2"/>
      <c r="F3" s="2"/>
      <c r="G3" s="2"/>
      <c r="H3" s="2"/>
      <c r="I3" s="2"/>
      <c r="J3" s="2"/>
      <c r="K3" s="2"/>
    </row>
    <row r="4" spans="1:11" ht="16.5" x14ac:dyDescent="0.2">
      <c r="A4" s="4" t="str">
        <f>HYPERLINK("#'Field Dictionary'!A84","📄🧩 - 1 - SHORT TEXT")</f>
        <v>📄🧩 - 1 - SHORT TEXT</v>
      </c>
      <c r="B4" s="4" t="str">
        <f>HYPERLINK("#'Field Dictionary'!A85","📄🧩 - 2 - LONG TEXT")</f>
        <v>📄🧩 - 2 - LONG TEXT</v>
      </c>
      <c r="C4" s="4" t="str">
        <f>HYPERLINK("#'Field Dictionary'!A86","📄🧩 - 3 - SHORT TEXT")</f>
        <v>📄🧩 - 3 - SHORT TEXT</v>
      </c>
      <c r="D4" s="4" t="str">
        <f>HYPERLINK("#'Field Dictionary'!A87","📄🧩 - 4 - LINKED RECORD")</f>
        <v>📄🧩 - 4 - LINKED RECORD</v>
      </c>
      <c r="E4" s="4" t="str">
        <f>HYPERLINK("#'Field Dictionary'!A88","📄🧩 - 5 - SINGLE SELECT")</f>
        <v>📄🧩 - 5 - SINGLE SELECT</v>
      </c>
      <c r="F4" s="4" t="str">
        <f>HYPERLINK("#'Field Dictionary'!A89","📄🧩 - 6 - LINKED RECORD")</f>
        <v>📄🧩 - 6 - LINKED RECORD</v>
      </c>
      <c r="G4" s="4" t="str">
        <f>HYPERLINK("#'Field Dictionary'!A90","📄🧩 - 7 - INTEGER")</f>
        <v>📄🧩 - 7 - INTEGER</v>
      </c>
      <c r="H4" s="4" t="str">
        <f>HYPERLINK("#'Field Dictionary'!A91","📄🧩 - 8 - LONG TEXT")</f>
        <v>📄🧩 - 8 - LONG TEXT</v>
      </c>
      <c r="I4" s="4" t="str">
        <f>HYPERLINK("#'Field Dictionary'!A92","📄🧩 - 9 - LONG TEXT")</f>
        <v>📄🧩 - 9 - LONG TEXT</v>
      </c>
      <c r="J4" s="4" t="str">
        <f>HYPERLINK("#'Field Dictionary'!A93","📄🧩 - 10 - SINGLE SELECT")</f>
        <v>📄🧩 - 10 - SINGLE SELECT</v>
      </c>
      <c r="K4" s="4" t="str">
        <f>HYPERLINK("#'Field Dictionary'!A94","📄🧩 - 11 - LONG TEXT")</f>
        <v>📄🧩 - 11 - LONG TEXT</v>
      </c>
    </row>
    <row r="5" spans="1:11" ht="38.1" customHeight="1" x14ac:dyDescent="0.2">
      <c r="A5" s="7" t="s">
        <v>100</v>
      </c>
      <c r="B5" s="7" t="s">
        <v>101</v>
      </c>
      <c r="C5" s="7" t="s">
        <v>102</v>
      </c>
      <c r="D5" s="7" t="s">
        <v>158</v>
      </c>
      <c r="E5" s="7" t="s">
        <v>4425</v>
      </c>
      <c r="F5" s="7" t="s">
        <v>4426</v>
      </c>
      <c r="G5" s="7" t="s">
        <v>4427</v>
      </c>
      <c r="H5" s="7" t="s">
        <v>4428</v>
      </c>
      <c r="I5" s="7" t="s">
        <v>4429</v>
      </c>
      <c r="J5" s="7" t="s">
        <v>4430</v>
      </c>
      <c r="K5" s="7" t="s">
        <v>4431</v>
      </c>
    </row>
    <row r="6" spans="1:11" ht="38.1" customHeight="1" x14ac:dyDescent="0.2">
      <c r="A6" s="7" t="s">
        <v>115</v>
      </c>
      <c r="B6" s="7" t="s">
        <v>116</v>
      </c>
      <c r="C6" s="7" t="s">
        <v>117</v>
      </c>
      <c r="D6" s="7" t="s">
        <v>167</v>
      </c>
      <c r="E6" s="7" t="s">
        <v>4432</v>
      </c>
      <c r="F6" s="7" t="s">
        <v>4433</v>
      </c>
      <c r="G6" s="7" t="s">
        <v>4434</v>
      </c>
      <c r="H6" s="7" t="s">
        <v>4435</v>
      </c>
      <c r="I6" s="7" t="s">
        <v>4436</v>
      </c>
      <c r="J6" s="7" t="s">
        <v>4437</v>
      </c>
      <c r="K6" s="7" t="s">
        <v>4438</v>
      </c>
    </row>
    <row r="7" spans="1:11" ht="102" customHeight="1" x14ac:dyDescent="0.2">
      <c r="A7" s="5" t="s">
        <v>3570</v>
      </c>
      <c r="B7" s="5" t="s">
        <v>3571</v>
      </c>
      <c r="C7" s="5" t="s">
        <v>3574</v>
      </c>
      <c r="D7" s="5" t="s">
        <v>3572</v>
      </c>
      <c r="E7" s="5" t="s">
        <v>4439</v>
      </c>
      <c r="F7" s="5"/>
      <c r="G7" s="8">
        <v>1</v>
      </c>
      <c r="H7" s="5" t="s">
        <v>4440</v>
      </c>
      <c r="I7" s="5" t="s">
        <v>4441</v>
      </c>
      <c r="J7" s="5" t="s">
        <v>1003</v>
      </c>
      <c r="K7" s="5" t="s">
        <v>4442</v>
      </c>
    </row>
    <row r="8" spans="1:11" ht="117" customHeight="1" x14ac:dyDescent="0.2">
      <c r="A8" s="5" t="s">
        <v>3607</v>
      </c>
      <c r="B8" s="5" t="s">
        <v>3571</v>
      </c>
      <c r="C8" s="5" t="s">
        <v>3610</v>
      </c>
      <c r="D8" s="5" t="s">
        <v>3608</v>
      </c>
      <c r="E8" s="5" t="s">
        <v>4439</v>
      </c>
      <c r="F8" s="5"/>
      <c r="G8" s="8">
        <v>2</v>
      </c>
      <c r="H8" s="5" t="s">
        <v>4443</v>
      </c>
      <c r="I8" s="5" t="s">
        <v>4441</v>
      </c>
      <c r="J8" s="5" t="s">
        <v>1003</v>
      </c>
      <c r="K8" s="5" t="s">
        <v>4442</v>
      </c>
    </row>
    <row r="9" spans="1:11" ht="102" customHeight="1" x14ac:dyDescent="0.2">
      <c r="A9" s="5" t="s">
        <v>3639</v>
      </c>
      <c r="B9" s="5" t="s">
        <v>3571</v>
      </c>
      <c r="C9" s="5" t="s">
        <v>3642</v>
      </c>
      <c r="D9" s="5" t="s">
        <v>3640</v>
      </c>
      <c r="E9" s="5" t="s">
        <v>4439</v>
      </c>
      <c r="F9" s="5"/>
      <c r="G9" s="8">
        <v>3</v>
      </c>
      <c r="H9" s="5" t="s">
        <v>4444</v>
      </c>
      <c r="I9" s="5" t="s">
        <v>4441</v>
      </c>
      <c r="J9" s="5" t="s">
        <v>1003</v>
      </c>
      <c r="K9" s="5" t="s">
        <v>4442</v>
      </c>
    </row>
    <row r="10" spans="1:11" ht="87" customHeight="1" x14ac:dyDescent="0.2">
      <c r="A10" s="5" t="s">
        <v>3671</v>
      </c>
      <c r="B10" s="5" t="s">
        <v>3571</v>
      </c>
      <c r="C10" s="5" t="s">
        <v>3674</v>
      </c>
      <c r="D10" s="5" t="s">
        <v>3672</v>
      </c>
      <c r="E10" s="5" t="s">
        <v>4439</v>
      </c>
      <c r="F10" s="5"/>
      <c r="G10" s="8">
        <v>4</v>
      </c>
      <c r="H10" s="5" t="s">
        <v>4445</v>
      </c>
      <c r="I10" s="5" t="s">
        <v>4441</v>
      </c>
      <c r="J10" s="5" t="s">
        <v>1003</v>
      </c>
      <c r="K10" s="5" t="s">
        <v>4442</v>
      </c>
    </row>
    <row r="11" spans="1:11" ht="102" customHeight="1" x14ac:dyDescent="0.2">
      <c r="A11" s="5" t="s">
        <v>3703</v>
      </c>
      <c r="B11" s="5" t="s">
        <v>3571</v>
      </c>
      <c r="C11" s="5" t="s">
        <v>3706</v>
      </c>
      <c r="D11" s="5" t="s">
        <v>3704</v>
      </c>
      <c r="E11" s="5" t="s">
        <v>4439</v>
      </c>
      <c r="F11" s="5"/>
      <c r="G11" s="8">
        <v>5</v>
      </c>
      <c r="H11" s="5" t="s">
        <v>4446</v>
      </c>
      <c r="I11" s="5" t="s">
        <v>4441</v>
      </c>
      <c r="J11" s="5" t="s">
        <v>1003</v>
      </c>
      <c r="K11" s="5" t="s">
        <v>4442</v>
      </c>
    </row>
    <row r="12" spans="1:11" ht="102" customHeight="1" x14ac:dyDescent="0.2">
      <c r="A12" s="5" t="s">
        <v>3735</v>
      </c>
      <c r="B12" s="5" t="s">
        <v>3571</v>
      </c>
      <c r="C12" s="5" t="s">
        <v>3738</v>
      </c>
      <c r="D12" s="5" t="s">
        <v>3736</v>
      </c>
      <c r="E12" s="5" t="s">
        <v>4439</v>
      </c>
      <c r="F12" s="5"/>
      <c r="G12" s="8">
        <v>6</v>
      </c>
      <c r="H12" s="5" t="s">
        <v>4447</v>
      </c>
      <c r="I12" s="5" t="s">
        <v>4441</v>
      </c>
      <c r="J12" s="5" t="s">
        <v>1003</v>
      </c>
      <c r="K12" s="5" t="s">
        <v>4442</v>
      </c>
    </row>
    <row r="13" spans="1:11" ht="102" customHeight="1" x14ac:dyDescent="0.2">
      <c r="A13" s="5" t="s">
        <v>3767</v>
      </c>
      <c r="B13" s="5" t="s">
        <v>3571</v>
      </c>
      <c r="C13" s="5" t="s">
        <v>3770</v>
      </c>
      <c r="D13" s="5" t="s">
        <v>3768</v>
      </c>
      <c r="E13" s="5" t="s">
        <v>4439</v>
      </c>
      <c r="F13" s="5"/>
      <c r="G13" s="8">
        <v>7</v>
      </c>
      <c r="H13" s="5" t="s">
        <v>4448</v>
      </c>
      <c r="I13" s="5" t="s">
        <v>4441</v>
      </c>
      <c r="J13" s="5" t="s">
        <v>1003</v>
      </c>
      <c r="K13" s="5" t="s">
        <v>4442</v>
      </c>
    </row>
    <row r="14" spans="1:11" ht="117" customHeight="1" x14ac:dyDescent="0.2">
      <c r="A14" s="5" t="s">
        <v>3799</v>
      </c>
      <c r="B14" s="5" t="s">
        <v>3571</v>
      </c>
      <c r="C14" s="5" t="s">
        <v>3802</v>
      </c>
      <c r="D14" s="5" t="s">
        <v>3800</v>
      </c>
      <c r="E14" s="5" t="s">
        <v>4439</v>
      </c>
      <c r="F14" s="5"/>
      <c r="G14" s="8">
        <v>8</v>
      </c>
      <c r="H14" s="5" t="s">
        <v>4449</v>
      </c>
      <c r="I14" s="5" t="s">
        <v>4441</v>
      </c>
      <c r="J14" s="5" t="s">
        <v>1003</v>
      </c>
      <c r="K14" s="5" t="s">
        <v>4442</v>
      </c>
    </row>
    <row r="15" spans="1:11" ht="57" customHeight="1" x14ac:dyDescent="0.2">
      <c r="A15" s="5" t="s">
        <v>3910</v>
      </c>
      <c r="B15" s="5" t="s">
        <v>4450</v>
      </c>
      <c r="C15" s="5" t="s">
        <v>3913</v>
      </c>
      <c r="D15" s="5" t="s">
        <v>3911</v>
      </c>
      <c r="E15" s="5" t="s">
        <v>964</v>
      </c>
      <c r="F15" s="5"/>
      <c r="G15" s="8">
        <v>1</v>
      </c>
      <c r="H15" s="5" t="s">
        <v>3910</v>
      </c>
      <c r="I15" s="5" t="s">
        <v>4450</v>
      </c>
      <c r="J15" s="5" t="s">
        <v>4451</v>
      </c>
      <c r="K15" s="5" t="s">
        <v>4452</v>
      </c>
    </row>
    <row r="16" spans="1:11" ht="72" customHeight="1" x14ac:dyDescent="0.2">
      <c r="A16" s="5" t="s">
        <v>3917</v>
      </c>
      <c r="B16" s="5" t="s">
        <v>4453</v>
      </c>
      <c r="C16" s="5" t="s">
        <v>3920</v>
      </c>
      <c r="D16" s="5" t="s">
        <v>3918</v>
      </c>
      <c r="E16" s="5" t="s">
        <v>964</v>
      </c>
      <c r="F16" s="5"/>
      <c r="G16" s="8">
        <v>2</v>
      </c>
      <c r="H16" s="5" t="s">
        <v>3917</v>
      </c>
      <c r="I16" s="5" t="s">
        <v>4453</v>
      </c>
      <c r="J16" s="5" t="s">
        <v>4451</v>
      </c>
      <c r="K16" s="5" t="s">
        <v>4452</v>
      </c>
    </row>
    <row r="17" spans="1:11" ht="72" customHeight="1" x14ac:dyDescent="0.2">
      <c r="A17" s="5" t="s">
        <v>3924</v>
      </c>
      <c r="B17" s="5" t="s">
        <v>4454</v>
      </c>
      <c r="C17" s="5" t="s">
        <v>3927</v>
      </c>
      <c r="D17" s="5" t="s">
        <v>3925</v>
      </c>
      <c r="E17" s="5" t="s">
        <v>964</v>
      </c>
      <c r="F17" s="5"/>
      <c r="G17" s="8">
        <v>3</v>
      </c>
      <c r="H17" s="5" t="s">
        <v>3924</v>
      </c>
      <c r="I17" s="5" t="s">
        <v>4454</v>
      </c>
      <c r="J17" s="5" t="s">
        <v>4451</v>
      </c>
      <c r="K17" s="5" t="s">
        <v>4452</v>
      </c>
    </row>
    <row r="18" spans="1:11" ht="57" customHeight="1" x14ac:dyDescent="0.2">
      <c r="A18" s="5" t="s">
        <v>3931</v>
      </c>
      <c r="B18" s="5" t="s">
        <v>4455</v>
      </c>
      <c r="C18" s="5" t="s">
        <v>3934</v>
      </c>
      <c r="D18" s="5" t="s">
        <v>3932</v>
      </c>
      <c r="E18" s="5" t="s">
        <v>964</v>
      </c>
      <c r="F18" s="5"/>
      <c r="G18" s="8">
        <v>4</v>
      </c>
      <c r="H18" s="5" t="s">
        <v>3931</v>
      </c>
      <c r="I18" s="5" t="s">
        <v>4455</v>
      </c>
      <c r="J18" s="5" t="s">
        <v>4451</v>
      </c>
      <c r="K18" s="5" t="s">
        <v>4452</v>
      </c>
    </row>
    <row r="19" spans="1:11" ht="72" customHeight="1" x14ac:dyDescent="0.2">
      <c r="A19" s="5" t="s">
        <v>3938</v>
      </c>
      <c r="B19" s="5" t="s">
        <v>4456</v>
      </c>
      <c r="C19" s="5" t="s">
        <v>3941</v>
      </c>
      <c r="D19" s="5" t="s">
        <v>3939</v>
      </c>
      <c r="E19" s="5" t="s">
        <v>964</v>
      </c>
      <c r="F19" s="5"/>
      <c r="G19" s="8">
        <v>5</v>
      </c>
      <c r="H19" s="5" t="s">
        <v>3938</v>
      </c>
      <c r="I19" s="5" t="s">
        <v>4456</v>
      </c>
      <c r="J19" s="5" t="s">
        <v>4451</v>
      </c>
      <c r="K19" s="5" t="s">
        <v>4452</v>
      </c>
    </row>
    <row r="20" spans="1:11" ht="57" customHeight="1" x14ac:dyDescent="0.2">
      <c r="A20" s="5" t="s">
        <v>3945</v>
      </c>
      <c r="B20" s="5" t="s">
        <v>4457</v>
      </c>
      <c r="C20" s="5" t="s">
        <v>3948</v>
      </c>
      <c r="D20" s="5" t="s">
        <v>3946</v>
      </c>
      <c r="E20" s="5" t="s">
        <v>964</v>
      </c>
      <c r="F20" s="5"/>
      <c r="G20" s="8">
        <v>6</v>
      </c>
      <c r="H20" s="5" t="s">
        <v>3945</v>
      </c>
      <c r="I20" s="5" t="s">
        <v>4457</v>
      </c>
      <c r="J20" s="5" t="s">
        <v>4451</v>
      </c>
      <c r="K20" s="5" t="s">
        <v>4452</v>
      </c>
    </row>
    <row r="21" spans="1:11" ht="72" customHeight="1" x14ac:dyDescent="0.2">
      <c r="A21" s="5" t="s">
        <v>3952</v>
      </c>
      <c r="B21" s="5" t="s">
        <v>4458</v>
      </c>
      <c r="C21" s="5" t="s">
        <v>3955</v>
      </c>
      <c r="D21" s="5" t="s">
        <v>3953</v>
      </c>
      <c r="E21" s="5" t="s">
        <v>964</v>
      </c>
      <c r="F21" s="5"/>
      <c r="G21" s="8">
        <v>7</v>
      </c>
      <c r="H21" s="5" t="s">
        <v>3952</v>
      </c>
      <c r="I21" s="5" t="s">
        <v>4458</v>
      </c>
      <c r="J21" s="5" t="s">
        <v>4451</v>
      </c>
      <c r="K21" s="5" t="s">
        <v>4452</v>
      </c>
    </row>
    <row r="22" spans="1:11" ht="57" customHeight="1" x14ac:dyDescent="0.2">
      <c r="A22" s="5" t="s">
        <v>3959</v>
      </c>
      <c r="B22" s="5" t="s">
        <v>4459</v>
      </c>
      <c r="C22" s="5" t="s">
        <v>3962</v>
      </c>
      <c r="D22" s="5" t="s">
        <v>3960</v>
      </c>
      <c r="E22" s="5" t="s">
        <v>964</v>
      </c>
      <c r="F22" s="5"/>
      <c r="G22" s="8">
        <v>8</v>
      </c>
      <c r="H22" s="5" t="s">
        <v>3959</v>
      </c>
      <c r="I22" s="5" t="s">
        <v>4459</v>
      </c>
      <c r="J22" s="5" t="s">
        <v>4451</v>
      </c>
      <c r="K22" s="5" t="s">
        <v>4452</v>
      </c>
    </row>
    <row r="23" spans="1:11" ht="72" customHeight="1" x14ac:dyDescent="0.2">
      <c r="A23" s="5" t="s">
        <v>3966</v>
      </c>
      <c r="B23" s="5" t="s">
        <v>4460</v>
      </c>
      <c r="C23" s="5" t="s">
        <v>3969</v>
      </c>
      <c r="D23" s="5" t="s">
        <v>3967</v>
      </c>
      <c r="E23" s="5" t="s">
        <v>964</v>
      </c>
      <c r="F23" s="5"/>
      <c r="G23" s="8">
        <v>9</v>
      </c>
      <c r="H23" s="5" t="s">
        <v>3966</v>
      </c>
      <c r="I23" s="5" t="s">
        <v>4460</v>
      </c>
      <c r="J23" s="5" t="s">
        <v>4451</v>
      </c>
      <c r="K23" s="5" t="s">
        <v>4452</v>
      </c>
    </row>
    <row r="24" spans="1:11" ht="72" customHeight="1" x14ac:dyDescent="0.2">
      <c r="A24" s="5" t="s">
        <v>3973</v>
      </c>
      <c r="B24" s="5" t="s">
        <v>4461</v>
      </c>
      <c r="C24" s="5" t="s">
        <v>3976</v>
      </c>
      <c r="D24" s="5" t="s">
        <v>3974</v>
      </c>
      <c r="E24" s="5" t="s">
        <v>964</v>
      </c>
      <c r="F24" s="5"/>
      <c r="G24" s="8">
        <v>10</v>
      </c>
      <c r="H24" s="5" t="s">
        <v>3973</v>
      </c>
      <c r="I24" s="5" t="s">
        <v>4461</v>
      </c>
      <c r="J24" s="5" t="s">
        <v>4451</v>
      </c>
      <c r="K24" s="5" t="s">
        <v>4452</v>
      </c>
    </row>
    <row r="25" spans="1:11" ht="72" customHeight="1" x14ac:dyDescent="0.2">
      <c r="A25" s="5" t="s">
        <v>3980</v>
      </c>
      <c r="B25" s="5" t="s">
        <v>4462</v>
      </c>
      <c r="C25" s="5" t="s">
        <v>3983</v>
      </c>
      <c r="D25" s="5" t="s">
        <v>3981</v>
      </c>
      <c r="E25" s="5" t="s">
        <v>964</v>
      </c>
      <c r="F25" s="5"/>
      <c r="G25" s="8">
        <v>11</v>
      </c>
      <c r="H25" s="5" t="s">
        <v>3980</v>
      </c>
      <c r="I25" s="5" t="s">
        <v>4462</v>
      </c>
      <c r="J25" s="5" t="s">
        <v>4451</v>
      </c>
      <c r="K25" s="5" t="s">
        <v>4452</v>
      </c>
    </row>
    <row r="26" spans="1:11" ht="102" customHeight="1" x14ac:dyDescent="0.2">
      <c r="A26" s="5" t="s">
        <v>3987</v>
      </c>
      <c r="B26" s="5" t="s">
        <v>4463</v>
      </c>
      <c r="C26" s="5" t="s">
        <v>3990</v>
      </c>
      <c r="D26" s="5" t="s">
        <v>3988</v>
      </c>
      <c r="E26" s="5" t="s">
        <v>964</v>
      </c>
      <c r="F26" s="5"/>
      <c r="G26" s="8">
        <v>12</v>
      </c>
      <c r="H26" s="5" t="s">
        <v>3987</v>
      </c>
      <c r="I26" s="5" t="s">
        <v>4463</v>
      </c>
      <c r="J26" s="5" t="s">
        <v>4451</v>
      </c>
      <c r="K26" s="5" t="s">
        <v>4452</v>
      </c>
    </row>
    <row r="27" spans="1:11" ht="408.95" customHeight="1" x14ac:dyDescent="0.2">
      <c r="A27" s="5" t="s">
        <v>4268</v>
      </c>
      <c r="B27" s="5" t="s">
        <v>4464</v>
      </c>
      <c r="C27" s="5" t="s">
        <v>4272</v>
      </c>
      <c r="D27" s="5" t="s">
        <v>4270</v>
      </c>
      <c r="E27" s="5" t="s">
        <v>964</v>
      </c>
      <c r="F27" s="5" t="s">
        <v>3913</v>
      </c>
      <c r="G27" s="8">
        <v>1</v>
      </c>
      <c r="H27" s="5" t="s">
        <v>4465</v>
      </c>
      <c r="I27" s="5" t="s">
        <v>4466</v>
      </c>
      <c r="J27" s="5" t="s">
        <v>4467</v>
      </c>
      <c r="K27" s="5" t="s">
        <v>4468</v>
      </c>
    </row>
    <row r="28" spans="1:11" ht="408.95" customHeight="1" x14ac:dyDescent="0.2">
      <c r="A28" s="5" t="s">
        <v>4278</v>
      </c>
      <c r="B28" s="5" t="s">
        <v>4464</v>
      </c>
      <c r="C28" s="5" t="s">
        <v>4281</v>
      </c>
      <c r="D28" s="5" t="s">
        <v>4279</v>
      </c>
      <c r="E28" s="5" t="s">
        <v>964</v>
      </c>
      <c r="F28" s="5" t="s">
        <v>3920</v>
      </c>
      <c r="G28" s="8">
        <v>2</v>
      </c>
      <c r="H28" s="5" t="s">
        <v>4469</v>
      </c>
      <c r="I28" s="5" t="s">
        <v>4466</v>
      </c>
      <c r="J28" s="5" t="s">
        <v>4467</v>
      </c>
      <c r="K28" s="5" t="s">
        <v>4468</v>
      </c>
    </row>
    <row r="29" spans="1:11" ht="408.95" customHeight="1" x14ac:dyDescent="0.2">
      <c r="A29" s="5" t="s">
        <v>4286</v>
      </c>
      <c r="B29" s="5" t="s">
        <v>4464</v>
      </c>
      <c r="C29" s="5" t="s">
        <v>4289</v>
      </c>
      <c r="D29" s="5" t="s">
        <v>4287</v>
      </c>
      <c r="E29" s="5" t="s">
        <v>964</v>
      </c>
      <c r="F29" s="5" t="s">
        <v>3927</v>
      </c>
      <c r="G29" s="8">
        <v>3</v>
      </c>
      <c r="H29" s="5" t="s">
        <v>4470</v>
      </c>
      <c r="I29" s="5" t="s">
        <v>4466</v>
      </c>
      <c r="J29" s="5" t="s">
        <v>4467</v>
      </c>
      <c r="K29" s="5" t="s">
        <v>4468</v>
      </c>
    </row>
    <row r="30" spans="1:11" ht="408.95" customHeight="1" x14ac:dyDescent="0.2">
      <c r="A30" s="5" t="s">
        <v>4294</v>
      </c>
      <c r="B30" s="5" t="s">
        <v>4464</v>
      </c>
      <c r="C30" s="5" t="s">
        <v>4297</v>
      </c>
      <c r="D30" s="5" t="s">
        <v>4295</v>
      </c>
      <c r="E30" s="5" t="s">
        <v>964</v>
      </c>
      <c r="F30" s="5" t="s">
        <v>3934</v>
      </c>
      <c r="G30" s="8">
        <v>4</v>
      </c>
      <c r="H30" s="5" t="s">
        <v>4471</v>
      </c>
      <c r="I30" s="5" t="s">
        <v>4466</v>
      </c>
      <c r="J30" s="5" t="s">
        <v>4467</v>
      </c>
      <c r="K30" s="5" t="s">
        <v>4468</v>
      </c>
    </row>
    <row r="31" spans="1:11" ht="408.95" customHeight="1" x14ac:dyDescent="0.2">
      <c r="A31" s="5" t="s">
        <v>4302</v>
      </c>
      <c r="B31" s="5" t="s">
        <v>4464</v>
      </c>
      <c r="C31" s="5" t="s">
        <v>4305</v>
      </c>
      <c r="D31" s="5" t="s">
        <v>4303</v>
      </c>
      <c r="E31" s="5" t="s">
        <v>964</v>
      </c>
      <c r="F31" s="5" t="s">
        <v>3941</v>
      </c>
      <c r="G31" s="8">
        <v>5</v>
      </c>
      <c r="H31" s="5" t="s">
        <v>4472</v>
      </c>
      <c r="I31" s="5" t="s">
        <v>4466</v>
      </c>
      <c r="J31" s="5" t="s">
        <v>4467</v>
      </c>
      <c r="K31" s="5" t="s">
        <v>4468</v>
      </c>
    </row>
    <row r="32" spans="1:11" ht="408.95" customHeight="1" x14ac:dyDescent="0.2">
      <c r="A32" s="5" t="s">
        <v>4310</v>
      </c>
      <c r="B32" s="5" t="s">
        <v>4464</v>
      </c>
      <c r="C32" s="5" t="s">
        <v>4313</v>
      </c>
      <c r="D32" s="5" t="s">
        <v>4311</v>
      </c>
      <c r="E32" s="5" t="s">
        <v>964</v>
      </c>
      <c r="F32" s="5" t="s">
        <v>3948</v>
      </c>
      <c r="G32" s="8">
        <v>6</v>
      </c>
      <c r="H32" s="5" t="s">
        <v>4473</v>
      </c>
      <c r="I32" s="5" t="s">
        <v>4466</v>
      </c>
      <c r="J32" s="5" t="s">
        <v>4467</v>
      </c>
      <c r="K32" s="5" t="s">
        <v>4468</v>
      </c>
    </row>
    <row r="33" spans="1:11" ht="408.95" customHeight="1" x14ac:dyDescent="0.2">
      <c r="A33" s="5" t="s">
        <v>4318</v>
      </c>
      <c r="B33" s="5" t="s">
        <v>4464</v>
      </c>
      <c r="C33" s="5" t="s">
        <v>4321</v>
      </c>
      <c r="D33" s="5" t="s">
        <v>4319</v>
      </c>
      <c r="E33" s="5" t="s">
        <v>964</v>
      </c>
      <c r="F33" s="5" t="s">
        <v>3955</v>
      </c>
      <c r="G33" s="8">
        <v>7</v>
      </c>
      <c r="H33" s="5" t="s">
        <v>4474</v>
      </c>
      <c r="I33" s="5" t="s">
        <v>4466</v>
      </c>
      <c r="J33" s="5" t="s">
        <v>4467</v>
      </c>
      <c r="K33" s="5" t="s">
        <v>4468</v>
      </c>
    </row>
    <row r="34" spans="1:11" ht="408.95" customHeight="1" x14ac:dyDescent="0.2">
      <c r="A34" s="5" t="s">
        <v>4326</v>
      </c>
      <c r="B34" s="5" t="s">
        <v>4464</v>
      </c>
      <c r="C34" s="5" t="s">
        <v>4329</v>
      </c>
      <c r="D34" s="5" t="s">
        <v>4327</v>
      </c>
      <c r="E34" s="5" t="s">
        <v>964</v>
      </c>
      <c r="F34" s="5" t="s">
        <v>3962</v>
      </c>
      <c r="G34" s="8">
        <v>8</v>
      </c>
      <c r="H34" s="5" t="s">
        <v>4475</v>
      </c>
      <c r="I34" s="5" t="s">
        <v>4466</v>
      </c>
      <c r="J34" s="5" t="s">
        <v>4467</v>
      </c>
      <c r="K34" s="5" t="s">
        <v>4468</v>
      </c>
    </row>
    <row r="35" spans="1:11" ht="408.95" customHeight="1" x14ac:dyDescent="0.2">
      <c r="A35" s="5" t="s">
        <v>4334</v>
      </c>
      <c r="B35" s="5" t="s">
        <v>4464</v>
      </c>
      <c r="C35" s="5" t="s">
        <v>4337</v>
      </c>
      <c r="D35" s="5" t="s">
        <v>4335</v>
      </c>
      <c r="E35" s="5" t="s">
        <v>964</v>
      </c>
      <c r="F35" s="5" t="s">
        <v>3969</v>
      </c>
      <c r="G35" s="8">
        <v>9</v>
      </c>
      <c r="H35" s="5" t="s">
        <v>4476</v>
      </c>
      <c r="I35" s="5" t="s">
        <v>4466</v>
      </c>
      <c r="J35" s="5" t="s">
        <v>4467</v>
      </c>
      <c r="K35" s="5" t="s">
        <v>4468</v>
      </c>
    </row>
    <row r="36" spans="1:11" ht="408.95" customHeight="1" x14ac:dyDescent="0.2">
      <c r="A36" s="5" t="s">
        <v>4342</v>
      </c>
      <c r="B36" s="5" t="s">
        <v>4464</v>
      </c>
      <c r="C36" s="5" t="s">
        <v>4345</v>
      </c>
      <c r="D36" s="5" t="s">
        <v>4343</v>
      </c>
      <c r="E36" s="5" t="s">
        <v>964</v>
      </c>
      <c r="F36" s="5" t="s">
        <v>3976</v>
      </c>
      <c r="G36" s="8">
        <v>10</v>
      </c>
      <c r="H36" s="5" t="s">
        <v>4477</v>
      </c>
      <c r="I36" s="5" t="s">
        <v>4466</v>
      </c>
      <c r="J36" s="5" t="s">
        <v>4467</v>
      </c>
      <c r="K36" s="5" t="s">
        <v>4468</v>
      </c>
    </row>
    <row r="37" spans="1:11" ht="408.95" customHeight="1" x14ac:dyDescent="0.2">
      <c r="A37" s="5" t="s">
        <v>4350</v>
      </c>
      <c r="B37" s="5" t="s">
        <v>4464</v>
      </c>
      <c r="C37" s="5" t="s">
        <v>4353</v>
      </c>
      <c r="D37" s="5" t="s">
        <v>4351</v>
      </c>
      <c r="E37" s="5" t="s">
        <v>964</v>
      </c>
      <c r="F37" s="5" t="s">
        <v>3983</v>
      </c>
      <c r="G37" s="8">
        <v>11</v>
      </c>
      <c r="H37" s="5" t="s">
        <v>4478</v>
      </c>
      <c r="I37" s="5" t="s">
        <v>4466</v>
      </c>
      <c r="J37" s="5" t="s">
        <v>4467</v>
      </c>
      <c r="K37" s="5" t="s">
        <v>4468</v>
      </c>
    </row>
    <row r="38" spans="1:11" ht="408.95" customHeight="1" x14ac:dyDescent="0.2">
      <c r="A38" s="5" t="s">
        <v>4358</v>
      </c>
      <c r="B38" s="5" t="s">
        <v>4464</v>
      </c>
      <c r="C38" s="5" t="s">
        <v>4361</v>
      </c>
      <c r="D38" s="5" t="s">
        <v>4359</v>
      </c>
      <c r="E38" s="5" t="s">
        <v>964</v>
      </c>
      <c r="F38" s="5" t="s">
        <v>3990</v>
      </c>
      <c r="G38" s="8">
        <v>12</v>
      </c>
      <c r="H38" s="5" t="s">
        <v>4479</v>
      </c>
      <c r="I38" s="5" t="s">
        <v>4466</v>
      </c>
      <c r="J38" s="5" t="s">
        <v>4467</v>
      </c>
      <c r="K38" s="5" t="s">
        <v>4468</v>
      </c>
    </row>
  </sheetData>
  <dataValidations count="5">
    <dataValidation type="list" sqref="D7:D1200" xr:uid="{00000000-0002-0000-0900-000000000000}">
      <formula1>og_list_8</formula1>
    </dataValidation>
    <dataValidation type="list" sqref="E7:E1200" xr:uid="{00000000-0002-0000-0900-000001000000}">
      <formula1>"SECTION,CLAIM,TERM,RULE,EXAMPLE,OPEN QUESTION"</formula1>
    </dataValidation>
    <dataValidation type="list" sqref="F7:F1200" xr:uid="{00000000-0002-0000-0900-000002000000}">
      <formula1>og_list_13</formula1>
    </dataValidation>
    <dataValidation type="whole" sqref="G7:G1200" xr:uid="{00000000-0002-0000-0900-000003000000}">
      <formula1>0</formula1>
      <formula2>1000000</formula2>
    </dataValidation>
    <dataValidation type="list" sqref="J7:J1200" xr:uid="{00000000-0002-0000-0900-000004000000}">
      <formula1>"SOURCE SUPPORTED,DERIVED,PROPOSED,ILLUSTRATIVE"</formula1>
    </dataValidation>
  </dataValidations>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67E8F9"/>
  </sheetPr>
  <dimension ref="A1:K21"/>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11" width="48.0234375" customWidth="1"/>
  </cols>
  <sheetData>
    <row r="1" spans="1:11" ht="21.75" x14ac:dyDescent="0.25">
      <c r="A1" s="3" t="s">
        <v>4480</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1013</v>
      </c>
      <c r="B3" s="2"/>
      <c r="C3" s="2"/>
      <c r="D3" s="2"/>
      <c r="E3" s="2"/>
      <c r="F3" s="2"/>
      <c r="G3" s="2"/>
      <c r="H3" s="2"/>
      <c r="I3" s="2"/>
      <c r="J3" s="2"/>
      <c r="K3" s="2"/>
    </row>
    <row r="4" spans="1:11" ht="16.5" x14ac:dyDescent="0.2">
      <c r="A4" s="4" t="str">
        <f>HYPERLINK("#'Field Dictionary'!A95","🖼️📋 - 1 - SHORT TEXT")</f>
        <v>🖼️📋 - 1 - SHORT TEXT</v>
      </c>
      <c r="B4" s="4" t="str">
        <f>HYPERLINK("#'Field Dictionary'!A96","🖼️📋 - 2 - LONG TEXT")</f>
        <v>🖼️📋 - 2 - LONG TEXT</v>
      </c>
      <c r="C4" s="4" t="str">
        <f>HYPERLINK("#'Field Dictionary'!A97","🖼️📋 - 3 - SHORT TEXT")</f>
        <v>🖼️📋 - 3 - SHORT TEXT</v>
      </c>
      <c r="D4" s="4" t="str">
        <f>HYPERLINK("#'Field Dictionary'!A98","🖼️📋 - 4 - LINKED RECORD")</f>
        <v>🖼️📋 - 4 - LINKED RECORD</v>
      </c>
      <c r="E4" s="4" t="str">
        <f>HYPERLINK("#'Field Dictionary'!A99","🖼️📋 - 5 - SHORT TEXT")</f>
        <v>🖼️📋 - 5 - SHORT TEXT</v>
      </c>
      <c r="F4" s="4" t="str">
        <f>HYPERLINK("#'Field Dictionary'!A100","🖼️📋 - 6 - LONG TEXT")</f>
        <v>🖼️📋 - 6 - LONG TEXT</v>
      </c>
      <c r="G4" s="4" t="str">
        <f>HYPERLINK("#'Field Dictionary'!A101","🖼️📋 - 7 - LONG TEXT")</f>
        <v>🖼️📋 - 7 - LONG TEXT</v>
      </c>
      <c r="H4" s="4" t="str">
        <f>HYPERLINK("#'Field Dictionary'!A102","🖼️📋 - 8 - LONG TEXT")</f>
        <v>🖼️📋 - 8 - LONG TEXT</v>
      </c>
      <c r="I4" s="4" t="str">
        <f>HYPERLINK("#'Field Dictionary'!A103","🖼️📋 - 9 - LONG TEXT")</f>
        <v>🖼️📋 - 9 - LONG TEXT</v>
      </c>
      <c r="J4" s="4" t="str">
        <f>HYPERLINK("#'Field Dictionary'!A104","🖼️📋 - 10 - LONG TEXT")</f>
        <v>🖼️📋 - 10 - LONG TEXT</v>
      </c>
      <c r="K4" s="4" t="str">
        <f>HYPERLINK("#'Field Dictionary'!A105","🖼️📋 - 11 - LONG TEXT")</f>
        <v>🖼️📋 - 11 - LONG TEXT</v>
      </c>
    </row>
    <row r="5" spans="1:11" ht="38.1" customHeight="1" x14ac:dyDescent="0.2">
      <c r="A5" s="7" t="s">
        <v>100</v>
      </c>
      <c r="B5" s="7" t="s">
        <v>101</v>
      </c>
      <c r="C5" s="7" t="s">
        <v>102</v>
      </c>
      <c r="D5" s="7" t="s">
        <v>158</v>
      </c>
      <c r="E5" s="7" t="s">
        <v>4481</v>
      </c>
      <c r="F5" s="7" t="s">
        <v>4482</v>
      </c>
      <c r="G5" s="7" t="s">
        <v>4483</v>
      </c>
      <c r="H5" s="7" t="s">
        <v>4484</v>
      </c>
      <c r="I5" s="7" t="s">
        <v>4485</v>
      </c>
      <c r="J5" s="7" t="s">
        <v>4486</v>
      </c>
      <c r="K5" s="7" t="s">
        <v>4431</v>
      </c>
    </row>
    <row r="6" spans="1:11" ht="38.1" customHeight="1" x14ac:dyDescent="0.2">
      <c r="A6" s="7" t="s">
        <v>115</v>
      </c>
      <c r="B6" s="7" t="s">
        <v>116</v>
      </c>
      <c r="C6" s="7" t="s">
        <v>117</v>
      </c>
      <c r="D6" s="7" t="s">
        <v>167</v>
      </c>
      <c r="E6" s="7" t="s">
        <v>4487</v>
      </c>
      <c r="F6" s="7" t="s">
        <v>4488</v>
      </c>
      <c r="G6" s="7" t="s">
        <v>4489</v>
      </c>
      <c r="H6" s="7" t="s">
        <v>4490</v>
      </c>
      <c r="I6" s="7" t="s">
        <v>4491</v>
      </c>
      <c r="J6" s="7" t="s">
        <v>4492</v>
      </c>
      <c r="K6" s="7" t="s">
        <v>4438</v>
      </c>
    </row>
    <row r="7" spans="1:11" ht="102" customHeight="1" x14ac:dyDescent="0.2">
      <c r="A7" s="5" t="s">
        <v>3575</v>
      </c>
      <c r="B7" s="5" t="s">
        <v>3576</v>
      </c>
      <c r="C7" s="5" t="s">
        <v>3579</v>
      </c>
      <c r="D7" s="5" t="s">
        <v>3577</v>
      </c>
      <c r="E7" s="5" t="s">
        <v>4493</v>
      </c>
      <c r="F7" s="5" t="s">
        <v>4494</v>
      </c>
      <c r="G7" s="5" t="s">
        <v>4440</v>
      </c>
      <c r="H7" s="5" t="s">
        <v>4495</v>
      </c>
      <c r="I7" s="5" t="s">
        <v>4496</v>
      </c>
      <c r="J7" s="5" t="s">
        <v>4440</v>
      </c>
      <c r="K7" s="5" t="s">
        <v>4497</v>
      </c>
    </row>
    <row r="8" spans="1:11" ht="117" customHeight="1" x14ac:dyDescent="0.2">
      <c r="A8" s="5" t="s">
        <v>3611</v>
      </c>
      <c r="B8" s="5" t="s">
        <v>3576</v>
      </c>
      <c r="C8" s="5" t="s">
        <v>3614</v>
      </c>
      <c r="D8" s="5" t="s">
        <v>3612</v>
      </c>
      <c r="E8" s="5" t="s">
        <v>4498</v>
      </c>
      <c r="F8" s="5" t="s">
        <v>4499</v>
      </c>
      <c r="G8" s="5" t="s">
        <v>4443</v>
      </c>
      <c r="H8" s="5" t="s">
        <v>4495</v>
      </c>
      <c r="I8" s="5" t="s">
        <v>4496</v>
      </c>
      <c r="J8" s="5" t="s">
        <v>4443</v>
      </c>
      <c r="K8" s="5" t="s">
        <v>4497</v>
      </c>
    </row>
    <row r="9" spans="1:11" ht="102" customHeight="1" x14ac:dyDescent="0.2">
      <c r="A9" s="5" t="s">
        <v>3643</v>
      </c>
      <c r="B9" s="5" t="s">
        <v>3576</v>
      </c>
      <c r="C9" s="5" t="s">
        <v>3646</v>
      </c>
      <c r="D9" s="5" t="s">
        <v>3644</v>
      </c>
      <c r="E9" s="5" t="s">
        <v>4500</v>
      </c>
      <c r="F9" s="5" t="s">
        <v>4501</v>
      </c>
      <c r="G9" s="5" t="s">
        <v>4444</v>
      </c>
      <c r="H9" s="5" t="s">
        <v>4495</v>
      </c>
      <c r="I9" s="5" t="s">
        <v>4496</v>
      </c>
      <c r="J9" s="5" t="s">
        <v>4444</v>
      </c>
      <c r="K9" s="5" t="s">
        <v>4497</v>
      </c>
    </row>
    <row r="10" spans="1:11" ht="87" customHeight="1" x14ac:dyDescent="0.2">
      <c r="A10" s="5" t="s">
        <v>3675</v>
      </c>
      <c r="B10" s="5" t="s">
        <v>3576</v>
      </c>
      <c r="C10" s="5" t="s">
        <v>3678</v>
      </c>
      <c r="D10" s="5" t="s">
        <v>3676</v>
      </c>
      <c r="E10" s="5" t="s">
        <v>4502</v>
      </c>
      <c r="F10" s="5" t="s">
        <v>4503</v>
      </c>
      <c r="G10" s="5" t="s">
        <v>4445</v>
      </c>
      <c r="H10" s="5" t="s">
        <v>4495</v>
      </c>
      <c r="I10" s="5" t="s">
        <v>4496</v>
      </c>
      <c r="J10" s="5" t="s">
        <v>4445</v>
      </c>
      <c r="K10" s="5" t="s">
        <v>4497</v>
      </c>
    </row>
    <row r="11" spans="1:11" ht="102" customHeight="1" x14ac:dyDescent="0.2">
      <c r="A11" s="5" t="s">
        <v>3707</v>
      </c>
      <c r="B11" s="5" t="s">
        <v>3576</v>
      </c>
      <c r="C11" s="5" t="s">
        <v>3710</v>
      </c>
      <c r="D11" s="5" t="s">
        <v>3708</v>
      </c>
      <c r="E11" s="5" t="s">
        <v>4504</v>
      </c>
      <c r="F11" s="5" t="s">
        <v>4505</v>
      </c>
      <c r="G11" s="5" t="s">
        <v>4446</v>
      </c>
      <c r="H11" s="5" t="s">
        <v>4495</v>
      </c>
      <c r="I11" s="5" t="s">
        <v>4496</v>
      </c>
      <c r="J11" s="5" t="s">
        <v>4446</v>
      </c>
      <c r="K11" s="5" t="s">
        <v>4497</v>
      </c>
    </row>
    <row r="12" spans="1:11" ht="102" customHeight="1" x14ac:dyDescent="0.2">
      <c r="A12" s="5" t="s">
        <v>3739</v>
      </c>
      <c r="B12" s="5" t="s">
        <v>3576</v>
      </c>
      <c r="C12" s="5" t="s">
        <v>3742</v>
      </c>
      <c r="D12" s="5" t="s">
        <v>3740</v>
      </c>
      <c r="E12" s="5" t="s">
        <v>4506</v>
      </c>
      <c r="F12" s="5" t="s">
        <v>4507</v>
      </c>
      <c r="G12" s="5" t="s">
        <v>4447</v>
      </c>
      <c r="H12" s="5" t="s">
        <v>4495</v>
      </c>
      <c r="I12" s="5" t="s">
        <v>4496</v>
      </c>
      <c r="J12" s="5" t="s">
        <v>4447</v>
      </c>
      <c r="K12" s="5" t="s">
        <v>4497</v>
      </c>
    </row>
    <row r="13" spans="1:11" ht="102" customHeight="1" x14ac:dyDescent="0.2">
      <c r="A13" s="5" t="s">
        <v>3771</v>
      </c>
      <c r="B13" s="5" t="s">
        <v>3576</v>
      </c>
      <c r="C13" s="5" t="s">
        <v>3774</v>
      </c>
      <c r="D13" s="5" t="s">
        <v>3772</v>
      </c>
      <c r="E13" s="5" t="s">
        <v>4508</v>
      </c>
      <c r="F13" s="5" t="s">
        <v>4509</v>
      </c>
      <c r="G13" s="5" t="s">
        <v>4448</v>
      </c>
      <c r="H13" s="5" t="s">
        <v>4495</v>
      </c>
      <c r="I13" s="5" t="s">
        <v>4496</v>
      </c>
      <c r="J13" s="5" t="s">
        <v>4448</v>
      </c>
      <c r="K13" s="5" t="s">
        <v>4497</v>
      </c>
    </row>
    <row r="14" spans="1:11" ht="117" customHeight="1" x14ac:dyDescent="0.2">
      <c r="A14" s="5" t="s">
        <v>3803</v>
      </c>
      <c r="B14" s="5" t="s">
        <v>3576</v>
      </c>
      <c r="C14" s="5" t="s">
        <v>3806</v>
      </c>
      <c r="D14" s="5" t="s">
        <v>3804</v>
      </c>
      <c r="E14" s="5" t="s">
        <v>4510</v>
      </c>
      <c r="F14" s="5" t="s">
        <v>4511</v>
      </c>
      <c r="G14" s="5" t="s">
        <v>4449</v>
      </c>
      <c r="H14" s="5" t="s">
        <v>4495</v>
      </c>
      <c r="I14" s="5" t="s">
        <v>4496</v>
      </c>
      <c r="J14" s="5" t="s">
        <v>4449</v>
      </c>
      <c r="K14" s="5" t="s">
        <v>4497</v>
      </c>
    </row>
    <row r="15" spans="1:11" ht="87" customHeight="1" x14ac:dyDescent="0.2">
      <c r="A15" s="5" t="s">
        <v>4017</v>
      </c>
      <c r="B15" s="5" t="s">
        <v>4512</v>
      </c>
      <c r="C15" s="5" t="s">
        <v>4020</v>
      </c>
      <c r="D15" s="5" t="s">
        <v>4018</v>
      </c>
      <c r="E15" s="5" t="s">
        <v>4020</v>
      </c>
      <c r="F15" s="5" t="s">
        <v>4513</v>
      </c>
      <c r="G15" s="5" t="s">
        <v>4514</v>
      </c>
      <c r="H15" s="5" t="s">
        <v>4515</v>
      </c>
      <c r="I15" s="5" t="s">
        <v>4516</v>
      </c>
      <c r="J15" s="5" t="s">
        <v>4517</v>
      </c>
      <c r="K15" s="5" t="s">
        <v>4518</v>
      </c>
    </row>
    <row r="16" spans="1:11" ht="102" customHeight="1" x14ac:dyDescent="0.2">
      <c r="A16" s="5" t="s">
        <v>4025</v>
      </c>
      <c r="B16" s="5" t="s">
        <v>4519</v>
      </c>
      <c r="C16" s="5" t="s">
        <v>4028</v>
      </c>
      <c r="D16" s="5" t="s">
        <v>4026</v>
      </c>
      <c r="E16" s="5" t="s">
        <v>4028</v>
      </c>
      <c r="F16" s="5" t="s">
        <v>4520</v>
      </c>
      <c r="G16" s="5" t="s">
        <v>4521</v>
      </c>
      <c r="H16" s="5" t="s">
        <v>4522</v>
      </c>
      <c r="I16" s="5" t="s">
        <v>4516</v>
      </c>
      <c r="J16" s="5" t="s">
        <v>4517</v>
      </c>
      <c r="K16" s="5" t="s">
        <v>4523</v>
      </c>
    </row>
    <row r="17" spans="1:11" ht="72" customHeight="1" x14ac:dyDescent="0.2">
      <c r="A17" s="5" t="s">
        <v>4033</v>
      </c>
      <c r="B17" s="5" t="s">
        <v>4519</v>
      </c>
      <c r="C17" s="5" t="s">
        <v>4036</v>
      </c>
      <c r="D17" s="5" t="s">
        <v>4034</v>
      </c>
      <c r="E17" s="5" t="s">
        <v>4036</v>
      </c>
      <c r="F17" s="5" t="s">
        <v>4524</v>
      </c>
      <c r="G17" s="5" t="s">
        <v>4525</v>
      </c>
      <c r="H17" s="5" t="s">
        <v>4526</v>
      </c>
      <c r="I17" s="5" t="s">
        <v>4516</v>
      </c>
      <c r="J17" s="5" t="s">
        <v>4517</v>
      </c>
      <c r="K17" s="5" t="s">
        <v>4527</v>
      </c>
    </row>
    <row r="18" spans="1:11" ht="87" customHeight="1" x14ac:dyDescent="0.2">
      <c r="A18" s="5" t="s">
        <v>4041</v>
      </c>
      <c r="B18" s="5" t="s">
        <v>4528</v>
      </c>
      <c r="C18" s="5" t="s">
        <v>4044</v>
      </c>
      <c r="D18" s="5" t="s">
        <v>4042</v>
      </c>
      <c r="E18" s="5" t="s">
        <v>4044</v>
      </c>
      <c r="F18" s="5" t="s">
        <v>4529</v>
      </c>
      <c r="G18" s="5" t="s">
        <v>4530</v>
      </c>
      <c r="H18" s="5" t="s">
        <v>4531</v>
      </c>
      <c r="I18" s="5" t="s">
        <v>4516</v>
      </c>
      <c r="J18" s="5" t="s">
        <v>4517</v>
      </c>
      <c r="K18" s="5" t="s">
        <v>4532</v>
      </c>
    </row>
    <row r="19" spans="1:11" ht="102" customHeight="1" x14ac:dyDescent="0.2">
      <c r="A19" s="5" t="s">
        <v>4049</v>
      </c>
      <c r="B19" s="5" t="s">
        <v>4533</v>
      </c>
      <c r="C19" s="5" t="s">
        <v>4052</v>
      </c>
      <c r="D19" s="5" t="s">
        <v>4050</v>
      </c>
      <c r="E19" s="5" t="s">
        <v>4052</v>
      </c>
      <c r="F19" s="5" t="s">
        <v>4534</v>
      </c>
      <c r="G19" s="5" t="s">
        <v>4535</v>
      </c>
      <c r="H19" s="5" t="s">
        <v>4536</v>
      </c>
      <c r="I19" s="5" t="s">
        <v>4516</v>
      </c>
      <c r="J19" s="5" t="s">
        <v>4517</v>
      </c>
      <c r="K19" s="5" t="s">
        <v>4537</v>
      </c>
    </row>
    <row r="20" spans="1:11" ht="102" customHeight="1" x14ac:dyDescent="0.2">
      <c r="A20" s="5" t="s">
        <v>4057</v>
      </c>
      <c r="B20" s="5" t="s">
        <v>4538</v>
      </c>
      <c r="C20" s="5" t="s">
        <v>4060</v>
      </c>
      <c r="D20" s="5" t="s">
        <v>4058</v>
      </c>
      <c r="E20" s="5" t="s">
        <v>4060</v>
      </c>
      <c r="F20" s="5" t="s">
        <v>4539</v>
      </c>
      <c r="G20" s="5" t="s">
        <v>4540</v>
      </c>
      <c r="H20" s="5" t="s">
        <v>4541</v>
      </c>
      <c r="I20" s="5" t="s">
        <v>4516</v>
      </c>
      <c r="J20" s="5" t="s">
        <v>4517</v>
      </c>
      <c r="K20" s="5" t="s">
        <v>4542</v>
      </c>
    </row>
    <row r="21" spans="1:11" ht="102" customHeight="1" x14ac:dyDescent="0.2">
      <c r="A21" s="5" t="s">
        <v>4065</v>
      </c>
      <c r="B21" s="5" t="s">
        <v>4543</v>
      </c>
      <c r="C21" s="5" t="s">
        <v>4068</v>
      </c>
      <c r="D21" s="5" t="s">
        <v>4066</v>
      </c>
      <c r="E21" s="5" t="s">
        <v>4068</v>
      </c>
      <c r="F21" s="5" t="s">
        <v>4544</v>
      </c>
      <c r="G21" s="5" t="s">
        <v>4545</v>
      </c>
      <c r="H21" s="5" t="s">
        <v>4546</v>
      </c>
      <c r="I21" s="5" t="s">
        <v>4516</v>
      </c>
      <c r="J21" s="5" t="s">
        <v>4517</v>
      </c>
      <c r="K21" s="5" t="s">
        <v>4547</v>
      </c>
    </row>
  </sheetData>
  <dataValidations count="1">
    <dataValidation type="list" sqref="D7:D1200" xr:uid="{00000000-0002-0000-0A00-000000000000}">
      <formula1>og_list_8</formula1>
    </dataValidation>
  </dataValidations>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67E8F9"/>
  </sheetPr>
  <dimension ref="A1:K40"/>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11" width="48.0234375" customWidth="1"/>
  </cols>
  <sheetData>
    <row r="1" spans="1:11" ht="40.5" x14ac:dyDescent="0.25">
      <c r="A1" s="3" t="s">
        <v>4548</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1094</v>
      </c>
      <c r="B3" s="2"/>
      <c r="C3" s="2"/>
      <c r="D3" s="2"/>
      <c r="E3" s="2"/>
      <c r="F3" s="2"/>
      <c r="G3" s="2"/>
      <c r="H3" s="2"/>
      <c r="I3" s="2"/>
      <c r="J3" s="2"/>
      <c r="K3" s="2"/>
    </row>
    <row r="4" spans="1:11" ht="16.5" x14ac:dyDescent="0.2">
      <c r="A4" s="4" t="str">
        <f>HYPERLINK("#'Field Dictionary'!A106","🧰📋 - 1 - SHORT TEXT")</f>
        <v>🧰📋 - 1 - SHORT TEXT</v>
      </c>
      <c r="B4" s="4" t="str">
        <f>HYPERLINK("#'Field Dictionary'!A107","🧰📋 - 2 - LONG TEXT")</f>
        <v>🧰📋 - 2 - LONG TEXT</v>
      </c>
      <c r="C4" s="4" t="str">
        <f>HYPERLINK("#'Field Dictionary'!A108","🧰📋 - 3 - SHORT TEXT")</f>
        <v>🧰📋 - 3 - SHORT TEXT</v>
      </c>
      <c r="D4" s="4" t="str">
        <f>HYPERLINK("#'Field Dictionary'!A109","🧰📋 - 4 - LINKED RECORD")</f>
        <v>🧰📋 - 4 - LINKED RECORD</v>
      </c>
      <c r="E4" s="4" t="str">
        <f>HYPERLINK("#'Field Dictionary'!A110","🧰📋 - 5 - SHORT TEXT")</f>
        <v>🧰📋 - 5 - SHORT TEXT</v>
      </c>
      <c r="F4" s="4" t="str">
        <f>HYPERLINK("#'Field Dictionary'!A111","🧰📋 - 6 - SINGLE SELECT")</f>
        <v>🧰📋 - 6 - SINGLE SELECT</v>
      </c>
      <c r="G4" s="4" t="str">
        <f>HYPERLINK("#'Field Dictionary'!A112","🧰📋 - 7 - LONG TEXT")</f>
        <v>🧰📋 - 7 - LONG TEXT</v>
      </c>
      <c r="H4" s="4" t="str">
        <f>HYPERLINK("#'Field Dictionary'!A113","🧰📋 - 8 - LONG TEXT")</f>
        <v>🧰📋 - 8 - LONG TEXT</v>
      </c>
      <c r="I4" s="4" t="str">
        <f>HYPERLINK("#'Field Dictionary'!A114","🧰📋 - 9 - LONG TEXT")</f>
        <v>🧰📋 - 9 - LONG TEXT</v>
      </c>
      <c r="J4" s="4" t="str">
        <f>HYPERLINK("#'Field Dictionary'!A115","🧰📋 - 10 - LONG TEXT")</f>
        <v>🧰📋 - 10 - LONG TEXT</v>
      </c>
      <c r="K4" s="4" t="str">
        <f>HYPERLINK("#'Field Dictionary'!A116","🧰📋 - 11 - LONG TEXT")</f>
        <v>🧰📋 - 11 - LONG TEXT</v>
      </c>
    </row>
    <row r="5" spans="1:11" ht="38.1" customHeight="1" x14ac:dyDescent="0.2">
      <c r="A5" s="7" t="s">
        <v>100</v>
      </c>
      <c r="B5" s="7" t="s">
        <v>101</v>
      </c>
      <c r="C5" s="7" t="s">
        <v>102</v>
      </c>
      <c r="D5" s="7" t="s">
        <v>158</v>
      </c>
      <c r="E5" s="7" t="s">
        <v>4549</v>
      </c>
      <c r="F5" s="7" t="s">
        <v>4550</v>
      </c>
      <c r="G5" s="7" t="s">
        <v>4551</v>
      </c>
      <c r="H5" s="7" t="s">
        <v>4552</v>
      </c>
      <c r="I5" s="7" t="s">
        <v>4553</v>
      </c>
      <c r="J5" s="7" t="s">
        <v>4554</v>
      </c>
      <c r="K5" s="7" t="s">
        <v>4431</v>
      </c>
    </row>
    <row r="6" spans="1:11" ht="38.1" customHeight="1" x14ac:dyDescent="0.2">
      <c r="A6" s="7" t="s">
        <v>115</v>
      </c>
      <c r="B6" s="7" t="s">
        <v>116</v>
      </c>
      <c r="C6" s="7" t="s">
        <v>117</v>
      </c>
      <c r="D6" s="7" t="s">
        <v>167</v>
      </c>
      <c r="E6" s="7" t="s">
        <v>4555</v>
      </c>
      <c r="F6" s="7" t="s">
        <v>4556</v>
      </c>
      <c r="G6" s="7" t="s">
        <v>4557</v>
      </c>
      <c r="H6" s="7" t="s">
        <v>4558</v>
      </c>
      <c r="I6" s="7" t="s">
        <v>4559</v>
      </c>
      <c r="J6" s="7" t="s">
        <v>4560</v>
      </c>
      <c r="K6" s="7" t="s">
        <v>4438</v>
      </c>
    </row>
    <row r="7" spans="1:11" ht="57" customHeight="1" x14ac:dyDescent="0.2">
      <c r="A7" s="5" t="s">
        <v>3533</v>
      </c>
      <c r="B7" s="5" t="s">
        <v>3534</v>
      </c>
      <c r="C7" s="5" t="s">
        <v>3537</v>
      </c>
      <c r="D7" s="5" t="s">
        <v>3535</v>
      </c>
      <c r="E7" s="5" t="s">
        <v>3537</v>
      </c>
      <c r="F7" s="5" t="s">
        <v>4413</v>
      </c>
      <c r="G7" s="5" t="s">
        <v>4561</v>
      </c>
      <c r="H7" s="5" t="s">
        <v>4562</v>
      </c>
      <c r="I7" s="5" t="s">
        <v>4563</v>
      </c>
      <c r="J7" s="5" t="s">
        <v>4564</v>
      </c>
      <c r="K7" s="5" t="s">
        <v>4565</v>
      </c>
    </row>
    <row r="8" spans="1:11" ht="57" customHeight="1" x14ac:dyDescent="0.2">
      <c r="A8" s="5" t="s">
        <v>3539</v>
      </c>
      <c r="B8" s="5" t="s">
        <v>3534</v>
      </c>
      <c r="C8" s="5" t="s">
        <v>3542</v>
      </c>
      <c r="D8" s="5" t="s">
        <v>3540</v>
      </c>
      <c r="E8" s="5" t="s">
        <v>3542</v>
      </c>
      <c r="F8" s="5" t="s">
        <v>4566</v>
      </c>
      <c r="G8" s="5" t="s">
        <v>4567</v>
      </c>
      <c r="H8" s="5" t="s">
        <v>4568</v>
      </c>
      <c r="I8" s="5" t="s">
        <v>4563</v>
      </c>
      <c r="J8" s="5" t="s">
        <v>4564</v>
      </c>
      <c r="K8" s="5" t="s">
        <v>4565</v>
      </c>
    </row>
    <row r="9" spans="1:11" ht="57" customHeight="1" x14ac:dyDescent="0.2">
      <c r="A9" s="5" t="s">
        <v>3543</v>
      </c>
      <c r="B9" s="5" t="s">
        <v>3534</v>
      </c>
      <c r="C9" s="5" t="s">
        <v>3546</v>
      </c>
      <c r="D9" s="5" t="s">
        <v>3544</v>
      </c>
      <c r="E9" s="5" t="s">
        <v>3546</v>
      </c>
      <c r="F9" s="5" t="s">
        <v>4569</v>
      </c>
      <c r="G9" s="5" t="s">
        <v>4570</v>
      </c>
      <c r="H9" s="5" t="s">
        <v>4571</v>
      </c>
      <c r="I9" s="5" t="s">
        <v>4563</v>
      </c>
      <c r="J9" s="5" t="s">
        <v>4564</v>
      </c>
      <c r="K9" s="5" t="s">
        <v>4565</v>
      </c>
    </row>
    <row r="10" spans="1:11" ht="57" customHeight="1" x14ac:dyDescent="0.2">
      <c r="A10" s="5" t="s">
        <v>3547</v>
      </c>
      <c r="B10" s="5" t="s">
        <v>3534</v>
      </c>
      <c r="C10" s="5" t="s">
        <v>3550</v>
      </c>
      <c r="D10" s="5" t="s">
        <v>3548</v>
      </c>
      <c r="E10" s="5" t="s">
        <v>3550</v>
      </c>
      <c r="F10" s="5" t="s">
        <v>4572</v>
      </c>
      <c r="G10" s="5" t="s">
        <v>4573</v>
      </c>
      <c r="H10" s="5" t="s">
        <v>4574</v>
      </c>
      <c r="I10" s="5" t="s">
        <v>4563</v>
      </c>
      <c r="J10" s="5" t="s">
        <v>4564</v>
      </c>
      <c r="K10" s="5" t="s">
        <v>4565</v>
      </c>
    </row>
    <row r="11" spans="1:11" ht="57" customHeight="1" x14ac:dyDescent="0.2">
      <c r="A11" s="5" t="s">
        <v>3551</v>
      </c>
      <c r="B11" s="5" t="s">
        <v>3534</v>
      </c>
      <c r="C11" s="5" t="s">
        <v>3554</v>
      </c>
      <c r="D11" s="5" t="s">
        <v>3552</v>
      </c>
      <c r="E11" s="5" t="s">
        <v>3554</v>
      </c>
      <c r="F11" s="5" t="s">
        <v>4572</v>
      </c>
      <c r="G11" s="5" t="s">
        <v>4575</v>
      </c>
      <c r="H11" s="5" t="s">
        <v>4576</v>
      </c>
      <c r="I11" s="5" t="s">
        <v>4563</v>
      </c>
      <c r="J11" s="5" t="s">
        <v>4564</v>
      </c>
      <c r="K11" s="5" t="s">
        <v>4565</v>
      </c>
    </row>
    <row r="12" spans="1:11" ht="102" customHeight="1" x14ac:dyDescent="0.2">
      <c r="A12" s="5" t="s">
        <v>3584</v>
      </c>
      <c r="B12" s="5" t="s">
        <v>3585</v>
      </c>
      <c r="C12" s="5" t="s">
        <v>3588</v>
      </c>
      <c r="D12" s="5" t="s">
        <v>3586</v>
      </c>
      <c r="E12" s="5" t="s">
        <v>4577</v>
      </c>
      <c r="F12" s="5" t="s">
        <v>4569</v>
      </c>
      <c r="G12" s="5" t="s">
        <v>4440</v>
      </c>
      <c r="H12" s="5" t="s">
        <v>4578</v>
      </c>
      <c r="I12" s="5" t="s">
        <v>4579</v>
      </c>
      <c r="J12" s="5" t="s">
        <v>4580</v>
      </c>
      <c r="K12" s="5" t="s">
        <v>4581</v>
      </c>
    </row>
    <row r="13" spans="1:11" ht="102" customHeight="1" x14ac:dyDescent="0.2">
      <c r="A13" s="5" t="s">
        <v>3593</v>
      </c>
      <c r="B13" s="5" t="s">
        <v>3594</v>
      </c>
      <c r="C13" s="5" t="s">
        <v>3597</v>
      </c>
      <c r="D13" s="5" t="s">
        <v>3595</v>
      </c>
      <c r="E13" s="5" t="s">
        <v>4582</v>
      </c>
      <c r="F13" s="5" t="s">
        <v>4572</v>
      </c>
      <c r="G13" s="5" t="s">
        <v>4440</v>
      </c>
      <c r="H13" s="5" t="s">
        <v>4583</v>
      </c>
      <c r="I13" s="5" t="s">
        <v>4579</v>
      </c>
      <c r="J13" s="5" t="s">
        <v>4580</v>
      </c>
      <c r="K13" s="5" t="s">
        <v>4581</v>
      </c>
    </row>
    <row r="14" spans="1:11" ht="117" customHeight="1" x14ac:dyDescent="0.2">
      <c r="A14" s="5" t="s">
        <v>3619</v>
      </c>
      <c r="B14" s="5" t="s">
        <v>3585</v>
      </c>
      <c r="C14" s="5" t="s">
        <v>3622</v>
      </c>
      <c r="D14" s="5" t="s">
        <v>3620</v>
      </c>
      <c r="E14" s="5" t="s">
        <v>4584</v>
      </c>
      <c r="F14" s="5" t="s">
        <v>4569</v>
      </c>
      <c r="G14" s="5" t="s">
        <v>4443</v>
      </c>
      <c r="H14" s="5" t="s">
        <v>4578</v>
      </c>
      <c r="I14" s="5" t="s">
        <v>4579</v>
      </c>
      <c r="J14" s="5" t="s">
        <v>4580</v>
      </c>
      <c r="K14" s="5" t="s">
        <v>4581</v>
      </c>
    </row>
    <row r="15" spans="1:11" ht="117" customHeight="1" x14ac:dyDescent="0.2">
      <c r="A15" s="5" t="s">
        <v>3627</v>
      </c>
      <c r="B15" s="5" t="s">
        <v>3594</v>
      </c>
      <c r="C15" s="5" t="s">
        <v>3630</v>
      </c>
      <c r="D15" s="5" t="s">
        <v>3628</v>
      </c>
      <c r="E15" s="5" t="s">
        <v>4585</v>
      </c>
      <c r="F15" s="5" t="s">
        <v>4572</v>
      </c>
      <c r="G15" s="5" t="s">
        <v>4443</v>
      </c>
      <c r="H15" s="5" t="s">
        <v>4586</v>
      </c>
      <c r="I15" s="5" t="s">
        <v>4579</v>
      </c>
      <c r="J15" s="5" t="s">
        <v>4580</v>
      </c>
      <c r="K15" s="5" t="s">
        <v>4581</v>
      </c>
    </row>
    <row r="16" spans="1:11" ht="102" customHeight="1" x14ac:dyDescent="0.2">
      <c r="A16" s="5" t="s">
        <v>3651</v>
      </c>
      <c r="B16" s="5" t="s">
        <v>3585</v>
      </c>
      <c r="C16" s="5" t="s">
        <v>3654</v>
      </c>
      <c r="D16" s="5" t="s">
        <v>3652</v>
      </c>
      <c r="E16" s="5" t="s">
        <v>4587</v>
      </c>
      <c r="F16" s="5" t="s">
        <v>4569</v>
      </c>
      <c r="G16" s="5" t="s">
        <v>4444</v>
      </c>
      <c r="H16" s="5" t="s">
        <v>4578</v>
      </c>
      <c r="I16" s="5" t="s">
        <v>4579</v>
      </c>
      <c r="J16" s="5" t="s">
        <v>4580</v>
      </c>
      <c r="K16" s="5" t="s">
        <v>4581</v>
      </c>
    </row>
    <row r="17" spans="1:11" ht="102" customHeight="1" x14ac:dyDescent="0.2">
      <c r="A17" s="5" t="s">
        <v>3659</v>
      </c>
      <c r="B17" s="5" t="s">
        <v>3594</v>
      </c>
      <c r="C17" s="5" t="s">
        <v>3662</v>
      </c>
      <c r="D17" s="5" t="s">
        <v>3660</v>
      </c>
      <c r="E17" s="5" t="s">
        <v>4588</v>
      </c>
      <c r="F17" s="5" t="s">
        <v>4572</v>
      </c>
      <c r="G17" s="5" t="s">
        <v>4444</v>
      </c>
      <c r="H17" s="5" t="s">
        <v>4586</v>
      </c>
      <c r="I17" s="5" t="s">
        <v>4579</v>
      </c>
      <c r="J17" s="5" t="s">
        <v>4580</v>
      </c>
      <c r="K17" s="5" t="s">
        <v>4581</v>
      </c>
    </row>
    <row r="18" spans="1:11" ht="87" customHeight="1" x14ac:dyDescent="0.2">
      <c r="A18" s="5" t="s">
        <v>3683</v>
      </c>
      <c r="B18" s="5" t="s">
        <v>3585</v>
      </c>
      <c r="C18" s="5" t="s">
        <v>3686</v>
      </c>
      <c r="D18" s="5" t="s">
        <v>3684</v>
      </c>
      <c r="E18" s="5" t="s">
        <v>4589</v>
      </c>
      <c r="F18" s="5" t="s">
        <v>4569</v>
      </c>
      <c r="G18" s="5" t="s">
        <v>4445</v>
      </c>
      <c r="H18" s="5" t="s">
        <v>4578</v>
      </c>
      <c r="I18" s="5" t="s">
        <v>4579</v>
      </c>
      <c r="J18" s="5" t="s">
        <v>4580</v>
      </c>
      <c r="K18" s="5" t="s">
        <v>4581</v>
      </c>
    </row>
    <row r="19" spans="1:11" ht="87" customHeight="1" x14ac:dyDescent="0.2">
      <c r="A19" s="5" t="s">
        <v>3691</v>
      </c>
      <c r="B19" s="5" t="s">
        <v>3594</v>
      </c>
      <c r="C19" s="5" t="s">
        <v>3694</v>
      </c>
      <c r="D19" s="5" t="s">
        <v>3692</v>
      </c>
      <c r="E19" s="5" t="s">
        <v>4590</v>
      </c>
      <c r="F19" s="5" t="s">
        <v>4572</v>
      </c>
      <c r="G19" s="5" t="s">
        <v>4445</v>
      </c>
      <c r="H19" s="5" t="s">
        <v>4591</v>
      </c>
      <c r="I19" s="5" t="s">
        <v>4579</v>
      </c>
      <c r="J19" s="5" t="s">
        <v>4580</v>
      </c>
      <c r="K19" s="5" t="s">
        <v>4581</v>
      </c>
    </row>
    <row r="20" spans="1:11" ht="102" customHeight="1" x14ac:dyDescent="0.2">
      <c r="A20" s="5" t="s">
        <v>3715</v>
      </c>
      <c r="B20" s="5" t="s">
        <v>3585</v>
      </c>
      <c r="C20" s="5" t="s">
        <v>3718</v>
      </c>
      <c r="D20" s="5" t="s">
        <v>3716</v>
      </c>
      <c r="E20" s="5" t="s">
        <v>4592</v>
      </c>
      <c r="F20" s="5" t="s">
        <v>4569</v>
      </c>
      <c r="G20" s="5" t="s">
        <v>4446</v>
      </c>
      <c r="H20" s="5" t="s">
        <v>4578</v>
      </c>
      <c r="I20" s="5" t="s">
        <v>4579</v>
      </c>
      <c r="J20" s="5" t="s">
        <v>4580</v>
      </c>
      <c r="K20" s="5" t="s">
        <v>4581</v>
      </c>
    </row>
    <row r="21" spans="1:11" ht="102" customHeight="1" x14ac:dyDescent="0.2">
      <c r="A21" s="5" t="s">
        <v>3723</v>
      </c>
      <c r="B21" s="5" t="s">
        <v>3594</v>
      </c>
      <c r="C21" s="5" t="s">
        <v>3726</v>
      </c>
      <c r="D21" s="5" t="s">
        <v>3724</v>
      </c>
      <c r="E21" s="5" t="s">
        <v>4593</v>
      </c>
      <c r="F21" s="5" t="s">
        <v>4572</v>
      </c>
      <c r="G21" s="5" t="s">
        <v>4446</v>
      </c>
      <c r="H21" s="5" t="s">
        <v>4594</v>
      </c>
      <c r="I21" s="5" t="s">
        <v>4579</v>
      </c>
      <c r="J21" s="5" t="s">
        <v>4580</v>
      </c>
      <c r="K21" s="5" t="s">
        <v>4581</v>
      </c>
    </row>
    <row r="22" spans="1:11" ht="102" customHeight="1" x14ac:dyDescent="0.2">
      <c r="A22" s="5" t="s">
        <v>3747</v>
      </c>
      <c r="B22" s="5" t="s">
        <v>3585</v>
      </c>
      <c r="C22" s="5" t="s">
        <v>3750</v>
      </c>
      <c r="D22" s="5" t="s">
        <v>3748</v>
      </c>
      <c r="E22" s="5" t="s">
        <v>4595</v>
      </c>
      <c r="F22" s="5" t="s">
        <v>4569</v>
      </c>
      <c r="G22" s="5" t="s">
        <v>4447</v>
      </c>
      <c r="H22" s="5" t="s">
        <v>4578</v>
      </c>
      <c r="I22" s="5" t="s">
        <v>4579</v>
      </c>
      <c r="J22" s="5" t="s">
        <v>4580</v>
      </c>
      <c r="K22" s="5" t="s">
        <v>4581</v>
      </c>
    </row>
    <row r="23" spans="1:11" ht="102" customHeight="1" x14ac:dyDescent="0.2">
      <c r="A23" s="5" t="s">
        <v>3755</v>
      </c>
      <c r="B23" s="5" t="s">
        <v>3594</v>
      </c>
      <c r="C23" s="5" t="s">
        <v>3758</v>
      </c>
      <c r="D23" s="5" t="s">
        <v>3756</v>
      </c>
      <c r="E23" s="5" t="s">
        <v>4596</v>
      </c>
      <c r="F23" s="5" t="s">
        <v>4572</v>
      </c>
      <c r="G23" s="5" t="s">
        <v>4447</v>
      </c>
      <c r="H23" s="5" t="s">
        <v>4586</v>
      </c>
      <c r="I23" s="5" t="s">
        <v>4579</v>
      </c>
      <c r="J23" s="5" t="s">
        <v>4580</v>
      </c>
      <c r="K23" s="5" t="s">
        <v>4581</v>
      </c>
    </row>
    <row r="24" spans="1:11" ht="102" customHeight="1" x14ac:dyDescent="0.2">
      <c r="A24" s="5" t="s">
        <v>3779</v>
      </c>
      <c r="B24" s="5" t="s">
        <v>3585</v>
      </c>
      <c r="C24" s="5" t="s">
        <v>3782</v>
      </c>
      <c r="D24" s="5" t="s">
        <v>3780</v>
      </c>
      <c r="E24" s="5" t="s">
        <v>4597</v>
      </c>
      <c r="F24" s="5" t="s">
        <v>4569</v>
      </c>
      <c r="G24" s="5" t="s">
        <v>4448</v>
      </c>
      <c r="H24" s="5" t="s">
        <v>4578</v>
      </c>
      <c r="I24" s="5" t="s">
        <v>4579</v>
      </c>
      <c r="J24" s="5" t="s">
        <v>4580</v>
      </c>
      <c r="K24" s="5" t="s">
        <v>4581</v>
      </c>
    </row>
    <row r="25" spans="1:11" ht="102" customHeight="1" x14ac:dyDescent="0.2">
      <c r="A25" s="5" t="s">
        <v>3787</v>
      </c>
      <c r="B25" s="5" t="s">
        <v>3594</v>
      </c>
      <c r="C25" s="5" t="s">
        <v>3790</v>
      </c>
      <c r="D25" s="5" t="s">
        <v>3788</v>
      </c>
      <c r="E25" s="5" t="s">
        <v>4598</v>
      </c>
      <c r="F25" s="5" t="s">
        <v>4572</v>
      </c>
      <c r="G25" s="5" t="s">
        <v>4448</v>
      </c>
      <c r="H25" s="5" t="s">
        <v>4599</v>
      </c>
      <c r="I25" s="5" t="s">
        <v>4579</v>
      </c>
      <c r="J25" s="5" t="s">
        <v>4580</v>
      </c>
      <c r="K25" s="5" t="s">
        <v>4581</v>
      </c>
    </row>
    <row r="26" spans="1:11" ht="117" customHeight="1" x14ac:dyDescent="0.2">
      <c r="A26" s="5" t="s">
        <v>3811</v>
      </c>
      <c r="B26" s="5" t="s">
        <v>3585</v>
      </c>
      <c r="C26" s="5" t="s">
        <v>3814</v>
      </c>
      <c r="D26" s="5" t="s">
        <v>3812</v>
      </c>
      <c r="E26" s="5" t="s">
        <v>4600</v>
      </c>
      <c r="F26" s="5" t="s">
        <v>4569</v>
      </c>
      <c r="G26" s="5" t="s">
        <v>4449</v>
      </c>
      <c r="H26" s="5" t="s">
        <v>4578</v>
      </c>
      <c r="I26" s="5" t="s">
        <v>4579</v>
      </c>
      <c r="J26" s="5" t="s">
        <v>4580</v>
      </c>
      <c r="K26" s="5" t="s">
        <v>4581</v>
      </c>
    </row>
    <row r="27" spans="1:11" ht="117" customHeight="1" x14ac:dyDescent="0.2">
      <c r="A27" s="5" t="s">
        <v>3819</v>
      </c>
      <c r="B27" s="5" t="s">
        <v>3594</v>
      </c>
      <c r="C27" s="5" t="s">
        <v>3822</v>
      </c>
      <c r="D27" s="5" t="s">
        <v>3820</v>
      </c>
      <c r="E27" s="5" t="s">
        <v>4601</v>
      </c>
      <c r="F27" s="5" t="s">
        <v>4572</v>
      </c>
      <c r="G27" s="5" t="s">
        <v>4449</v>
      </c>
      <c r="H27" s="5" t="s">
        <v>4602</v>
      </c>
      <c r="I27" s="5" t="s">
        <v>4579</v>
      </c>
      <c r="J27" s="5" t="s">
        <v>4580</v>
      </c>
      <c r="K27" s="5" t="s">
        <v>4581</v>
      </c>
    </row>
    <row r="28" spans="1:11" ht="50.1" customHeight="1" x14ac:dyDescent="0.2">
      <c r="A28" s="5" t="s">
        <v>3994</v>
      </c>
      <c r="B28" s="5" t="s">
        <v>264</v>
      </c>
      <c r="C28" s="5" t="s">
        <v>3997</v>
      </c>
      <c r="D28" s="5" t="s">
        <v>3995</v>
      </c>
      <c r="E28" s="5" t="s">
        <v>3997</v>
      </c>
      <c r="F28" s="5" t="s">
        <v>4413</v>
      </c>
      <c r="G28" s="5" t="s">
        <v>4603</v>
      </c>
      <c r="H28" s="5" t="s">
        <v>4604</v>
      </c>
      <c r="I28" s="5" t="s">
        <v>4605</v>
      </c>
      <c r="J28" s="5" t="s">
        <v>4606</v>
      </c>
      <c r="K28" s="5" t="s">
        <v>4607</v>
      </c>
    </row>
    <row r="29" spans="1:11" ht="57" customHeight="1" x14ac:dyDescent="0.2">
      <c r="A29" s="5" t="s">
        <v>3998</v>
      </c>
      <c r="B29" s="5" t="s">
        <v>264</v>
      </c>
      <c r="C29" s="5" t="s">
        <v>4001</v>
      </c>
      <c r="D29" s="5" t="s">
        <v>3999</v>
      </c>
      <c r="E29" s="5" t="s">
        <v>4001</v>
      </c>
      <c r="F29" s="5" t="s">
        <v>4413</v>
      </c>
      <c r="G29" s="5" t="s">
        <v>4608</v>
      </c>
      <c r="H29" s="5" t="s">
        <v>4604</v>
      </c>
      <c r="I29" s="5" t="s">
        <v>4609</v>
      </c>
      <c r="J29" s="5" t="s">
        <v>4606</v>
      </c>
      <c r="K29" s="5" t="s">
        <v>4607</v>
      </c>
    </row>
    <row r="30" spans="1:11" ht="57" customHeight="1" x14ac:dyDescent="0.2">
      <c r="A30" s="5" t="s">
        <v>3539</v>
      </c>
      <c r="B30" s="5" t="s">
        <v>264</v>
      </c>
      <c r="C30" s="5" t="s">
        <v>4004</v>
      </c>
      <c r="D30" s="5" t="s">
        <v>4002</v>
      </c>
      <c r="E30" s="5" t="s">
        <v>4004</v>
      </c>
      <c r="F30" s="5" t="s">
        <v>4566</v>
      </c>
      <c r="G30" s="5" t="s">
        <v>4610</v>
      </c>
      <c r="H30" s="5" t="s">
        <v>4604</v>
      </c>
      <c r="I30" s="5" t="s">
        <v>4611</v>
      </c>
      <c r="J30" s="5" t="s">
        <v>4606</v>
      </c>
      <c r="K30" s="5" t="s">
        <v>4607</v>
      </c>
    </row>
    <row r="31" spans="1:11" ht="50.1" customHeight="1" x14ac:dyDescent="0.2">
      <c r="A31" s="5" t="s">
        <v>4005</v>
      </c>
      <c r="B31" s="5" t="s">
        <v>264</v>
      </c>
      <c r="C31" s="5" t="s">
        <v>4008</v>
      </c>
      <c r="D31" s="5" t="s">
        <v>4006</v>
      </c>
      <c r="E31" s="5" t="s">
        <v>4008</v>
      </c>
      <c r="F31" s="5" t="s">
        <v>4569</v>
      </c>
      <c r="G31" s="5" t="s">
        <v>4612</v>
      </c>
      <c r="H31" s="5" t="s">
        <v>4604</v>
      </c>
      <c r="I31" s="5" t="s">
        <v>4613</v>
      </c>
      <c r="J31" s="5" t="s">
        <v>4606</v>
      </c>
      <c r="K31" s="5" t="s">
        <v>4607</v>
      </c>
    </row>
    <row r="32" spans="1:11" ht="50.1" customHeight="1" x14ac:dyDescent="0.2">
      <c r="A32" s="5" t="s">
        <v>4009</v>
      </c>
      <c r="B32" s="5" t="s">
        <v>264</v>
      </c>
      <c r="C32" s="5" t="s">
        <v>4012</v>
      </c>
      <c r="D32" s="5" t="s">
        <v>4010</v>
      </c>
      <c r="E32" s="5" t="s">
        <v>4012</v>
      </c>
      <c r="F32" s="5" t="s">
        <v>4413</v>
      </c>
      <c r="G32" s="5" t="s">
        <v>4614</v>
      </c>
      <c r="H32" s="5" t="s">
        <v>4604</v>
      </c>
      <c r="I32" s="5" t="s">
        <v>4615</v>
      </c>
      <c r="J32" s="5" t="s">
        <v>4606</v>
      </c>
      <c r="K32" s="5" t="s">
        <v>4607</v>
      </c>
    </row>
    <row r="33" spans="1:11" ht="50.1" customHeight="1" x14ac:dyDescent="0.2">
      <c r="A33" s="5" t="s">
        <v>4013</v>
      </c>
      <c r="B33" s="5" t="s">
        <v>264</v>
      </c>
      <c r="C33" s="5" t="s">
        <v>4016</v>
      </c>
      <c r="D33" s="5" t="s">
        <v>4014</v>
      </c>
      <c r="E33" s="5" t="s">
        <v>4016</v>
      </c>
      <c r="F33" s="5" t="s">
        <v>4616</v>
      </c>
      <c r="G33" s="5" t="s">
        <v>4617</v>
      </c>
      <c r="H33" s="5" t="s">
        <v>4604</v>
      </c>
      <c r="I33" s="5" t="s">
        <v>4618</v>
      </c>
      <c r="J33" s="5" t="s">
        <v>4606</v>
      </c>
      <c r="K33" s="5" t="s">
        <v>4607</v>
      </c>
    </row>
    <row r="34" spans="1:11" ht="57" customHeight="1" x14ac:dyDescent="0.2">
      <c r="A34" s="5" t="s">
        <v>4021</v>
      </c>
      <c r="B34" s="5" t="s">
        <v>264</v>
      </c>
      <c r="C34" s="5" t="s">
        <v>4024</v>
      </c>
      <c r="D34" s="5" t="s">
        <v>4022</v>
      </c>
      <c r="E34" s="5" t="s">
        <v>4024</v>
      </c>
      <c r="F34" s="5" t="s">
        <v>4413</v>
      </c>
      <c r="G34" s="5" t="s">
        <v>4514</v>
      </c>
      <c r="H34" s="5" t="s">
        <v>4619</v>
      </c>
      <c r="I34" s="5" t="s">
        <v>4620</v>
      </c>
      <c r="J34" s="5" t="s">
        <v>4621</v>
      </c>
      <c r="K34" s="5" t="s">
        <v>4515</v>
      </c>
    </row>
    <row r="35" spans="1:11" ht="57" customHeight="1" x14ac:dyDescent="0.2">
      <c r="A35" s="5" t="s">
        <v>4029</v>
      </c>
      <c r="B35" s="5" t="s">
        <v>264</v>
      </c>
      <c r="C35" s="5" t="s">
        <v>4032</v>
      </c>
      <c r="D35" s="5" t="s">
        <v>4030</v>
      </c>
      <c r="E35" s="5" t="s">
        <v>4032</v>
      </c>
      <c r="F35" s="5" t="s">
        <v>4413</v>
      </c>
      <c r="G35" s="5" t="s">
        <v>4521</v>
      </c>
      <c r="H35" s="5" t="s">
        <v>4619</v>
      </c>
      <c r="I35" s="5" t="s">
        <v>4620</v>
      </c>
      <c r="J35" s="5" t="s">
        <v>4621</v>
      </c>
      <c r="K35" s="5" t="s">
        <v>4522</v>
      </c>
    </row>
    <row r="36" spans="1:11" ht="57" customHeight="1" x14ac:dyDescent="0.2">
      <c r="A36" s="5" t="s">
        <v>4037</v>
      </c>
      <c r="B36" s="5" t="s">
        <v>264</v>
      </c>
      <c r="C36" s="5" t="s">
        <v>4040</v>
      </c>
      <c r="D36" s="5" t="s">
        <v>4038</v>
      </c>
      <c r="E36" s="5" t="s">
        <v>4040</v>
      </c>
      <c r="F36" s="5" t="s">
        <v>4413</v>
      </c>
      <c r="G36" s="5" t="s">
        <v>4525</v>
      </c>
      <c r="H36" s="5" t="s">
        <v>4619</v>
      </c>
      <c r="I36" s="5" t="s">
        <v>4620</v>
      </c>
      <c r="J36" s="5" t="s">
        <v>4621</v>
      </c>
      <c r="K36" s="5" t="s">
        <v>4526</v>
      </c>
    </row>
    <row r="37" spans="1:11" ht="57" customHeight="1" x14ac:dyDescent="0.2">
      <c r="A37" s="5" t="s">
        <v>4045</v>
      </c>
      <c r="B37" s="5" t="s">
        <v>264</v>
      </c>
      <c r="C37" s="5" t="s">
        <v>4048</v>
      </c>
      <c r="D37" s="5" t="s">
        <v>4046</v>
      </c>
      <c r="E37" s="5" t="s">
        <v>4048</v>
      </c>
      <c r="F37" s="5" t="s">
        <v>4413</v>
      </c>
      <c r="G37" s="5" t="s">
        <v>4530</v>
      </c>
      <c r="H37" s="5" t="s">
        <v>4619</v>
      </c>
      <c r="I37" s="5" t="s">
        <v>4620</v>
      </c>
      <c r="J37" s="5" t="s">
        <v>4621</v>
      </c>
      <c r="K37" s="5" t="s">
        <v>4531</v>
      </c>
    </row>
    <row r="38" spans="1:11" ht="57" customHeight="1" x14ac:dyDescent="0.2">
      <c r="A38" s="5" t="s">
        <v>4053</v>
      </c>
      <c r="B38" s="5" t="s">
        <v>264</v>
      </c>
      <c r="C38" s="5" t="s">
        <v>4056</v>
      </c>
      <c r="D38" s="5" t="s">
        <v>4054</v>
      </c>
      <c r="E38" s="5" t="s">
        <v>4056</v>
      </c>
      <c r="F38" s="5" t="s">
        <v>4413</v>
      </c>
      <c r="G38" s="5" t="s">
        <v>4535</v>
      </c>
      <c r="H38" s="5" t="s">
        <v>4619</v>
      </c>
      <c r="I38" s="5" t="s">
        <v>4620</v>
      </c>
      <c r="J38" s="5" t="s">
        <v>4621</v>
      </c>
      <c r="K38" s="5" t="s">
        <v>4536</v>
      </c>
    </row>
    <row r="39" spans="1:11" ht="57" customHeight="1" x14ac:dyDescent="0.2">
      <c r="A39" s="5" t="s">
        <v>4061</v>
      </c>
      <c r="B39" s="5" t="s">
        <v>264</v>
      </c>
      <c r="C39" s="5" t="s">
        <v>4064</v>
      </c>
      <c r="D39" s="5" t="s">
        <v>4062</v>
      </c>
      <c r="E39" s="5" t="s">
        <v>4064</v>
      </c>
      <c r="F39" s="5" t="s">
        <v>4413</v>
      </c>
      <c r="G39" s="5" t="s">
        <v>4540</v>
      </c>
      <c r="H39" s="5" t="s">
        <v>4619</v>
      </c>
      <c r="I39" s="5" t="s">
        <v>4620</v>
      </c>
      <c r="J39" s="5" t="s">
        <v>4621</v>
      </c>
      <c r="K39" s="5" t="s">
        <v>4541</v>
      </c>
    </row>
    <row r="40" spans="1:11" ht="57" customHeight="1" x14ac:dyDescent="0.2">
      <c r="A40" s="5" t="s">
        <v>4069</v>
      </c>
      <c r="B40" s="5" t="s">
        <v>264</v>
      </c>
      <c r="C40" s="5" t="s">
        <v>4072</v>
      </c>
      <c r="D40" s="5" t="s">
        <v>4070</v>
      </c>
      <c r="E40" s="5" t="s">
        <v>4072</v>
      </c>
      <c r="F40" s="5" t="s">
        <v>4413</v>
      </c>
      <c r="G40" s="5" t="s">
        <v>4545</v>
      </c>
      <c r="H40" s="5" t="s">
        <v>4619</v>
      </c>
      <c r="I40" s="5" t="s">
        <v>4620</v>
      </c>
      <c r="J40" s="5" t="s">
        <v>4621</v>
      </c>
      <c r="K40" s="5" t="s">
        <v>4546</v>
      </c>
    </row>
  </sheetData>
  <conditionalFormatting sqref="J7:J1200">
    <cfRule type="containsText" dxfId="8" priority="1" operator="containsText" text="BLOCK"/>
  </conditionalFormatting>
  <dataValidations count="2">
    <dataValidation type="list" sqref="D7:D1200" xr:uid="{00000000-0002-0000-0B00-000000000000}">
      <formula1>og_list_8</formula1>
    </dataValidation>
    <dataValidation type="list" sqref="F7:F1200" xr:uid="{00000000-0002-0000-0B00-000001000000}">
      <formula1>"SOURCE IMAGE,DATASET,VECTOR,RASTER,TEXT,CODE,STYLE"</formula1>
    </dataValidation>
  </dataValidation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67E8F9"/>
  </sheetPr>
  <dimension ref="A1:M68"/>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9" width="29.0546875" customWidth="1"/>
    <col min="10" max="10" width="18.0234375" customWidth="1"/>
    <col min="11" max="12" width="48.0234375" customWidth="1"/>
    <col min="13" max="13" width="29.0546875" customWidth="1"/>
  </cols>
  <sheetData>
    <row r="1" spans="1:13" ht="21.75" x14ac:dyDescent="0.25">
      <c r="A1" s="3" t="s">
        <v>4622</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1174</v>
      </c>
      <c r="B3" s="2"/>
      <c r="C3" s="2"/>
      <c r="D3" s="2"/>
      <c r="E3" s="2"/>
      <c r="F3" s="2"/>
      <c r="G3" s="2"/>
      <c r="H3" s="2"/>
      <c r="I3" s="2"/>
      <c r="J3" s="2"/>
      <c r="K3" s="2"/>
      <c r="L3" s="2"/>
      <c r="M3" s="2"/>
    </row>
    <row r="4" spans="1:13" ht="28.5" x14ac:dyDescent="0.2">
      <c r="A4" s="4" t="str">
        <f>HYPERLINK("#'Field Dictionary'!A117","📎🔢 - 1 - SHORT TEXT")</f>
        <v>📎🔢 - 1 - SHORT TEXT</v>
      </c>
      <c r="B4" s="4" t="str">
        <f>HYPERLINK("#'Field Dictionary'!A118","📎🔢 - 2 - LONG TEXT")</f>
        <v>📎🔢 - 2 - LONG TEXT</v>
      </c>
      <c r="C4" s="4" t="str">
        <f>HYPERLINK("#'Field Dictionary'!A119","📎🔢 - 3 - SHORT TEXT")</f>
        <v>📎🔢 - 3 - SHORT TEXT</v>
      </c>
      <c r="D4" s="4" t="str">
        <f>HYPERLINK("#'Field Dictionary'!A120","📎🔢 - 4 - LINKED RECORD")</f>
        <v>📎🔢 - 4 - LINKED RECORD</v>
      </c>
      <c r="E4" s="4" t="str">
        <f>HYPERLINK("#'Field Dictionary'!A121","📎🔢 - 5 - SINGLE SELECT")</f>
        <v>📎🔢 - 5 - SINGLE SELECT</v>
      </c>
      <c r="F4" s="4" t="str">
        <f>HYPERLINK("#'Field Dictionary'!A122","📎🔢 - 6 - SHORT TEXT")</f>
        <v>📎🔢 - 6 - SHORT TEXT</v>
      </c>
      <c r="G4" s="4" t="str">
        <f>HYPERLINK("#'Field Dictionary'!A123","📎🔢 - 7 - URL")</f>
        <v>📎🔢 - 7 - URL</v>
      </c>
      <c r="H4" s="4" t="str">
        <f>HYPERLINK("#'Field Dictionary'!A124","📎🔢 - 8 - SHORT TEXT")</f>
        <v>📎🔢 - 8 - SHORT TEXT</v>
      </c>
      <c r="I4" s="4" t="str">
        <f>HYPERLINK("#'Field Dictionary'!A125","📎🔢 - 9 - SHORT TEXT")</f>
        <v>📎🔢 - 9 - SHORT TEXT</v>
      </c>
      <c r="J4" s="4" t="str">
        <f>HYPERLINK("#'Field Dictionary'!A126","📎🔢 - 10 - INTEGER")</f>
        <v>📎🔢 - 10 - INTEGER</v>
      </c>
      <c r="K4" s="4" t="str">
        <f>HYPERLINK("#'Field Dictionary'!A127","📎🔢 - 11 - LONG TEXT")</f>
        <v>📎🔢 - 11 - LONG TEXT</v>
      </c>
      <c r="L4" s="4" t="str">
        <f>HYPERLINK("#'Field Dictionary'!A128","📎🔢 - 12 - LONG TEXT")</f>
        <v>📎🔢 - 12 - LONG TEXT</v>
      </c>
      <c r="M4" s="4" t="str">
        <f>HYPERLINK("#'Field Dictionary'!A129","📎🔢 - 13 - SINGLE SELECT")</f>
        <v>📎🔢 - 13 - SINGLE SELECT</v>
      </c>
    </row>
    <row r="5" spans="1:13" ht="38.1" customHeight="1" x14ac:dyDescent="0.2">
      <c r="A5" s="7" t="s">
        <v>100</v>
      </c>
      <c r="B5" s="7" t="s">
        <v>101</v>
      </c>
      <c r="C5" s="7" t="s">
        <v>102</v>
      </c>
      <c r="D5" s="7" t="s">
        <v>158</v>
      </c>
      <c r="E5" s="7" t="s">
        <v>4623</v>
      </c>
      <c r="F5" s="7" t="s">
        <v>4624</v>
      </c>
      <c r="G5" s="7" t="s">
        <v>4625</v>
      </c>
      <c r="H5" s="7" t="s">
        <v>4626</v>
      </c>
      <c r="I5" s="7" t="s">
        <v>4627</v>
      </c>
      <c r="J5" s="7" t="s">
        <v>4628</v>
      </c>
      <c r="K5" s="7" t="s">
        <v>4629</v>
      </c>
      <c r="L5" s="7" t="s">
        <v>4630</v>
      </c>
      <c r="M5" s="7" t="s">
        <v>4631</v>
      </c>
    </row>
    <row r="6" spans="1:13" ht="38.1" customHeight="1" x14ac:dyDescent="0.2">
      <c r="A6" s="7" t="s">
        <v>115</v>
      </c>
      <c r="B6" s="7" t="s">
        <v>116</v>
      </c>
      <c r="C6" s="7" t="s">
        <v>117</v>
      </c>
      <c r="D6" s="7" t="s">
        <v>167</v>
      </c>
      <c r="E6" s="7" t="s">
        <v>4632</v>
      </c>
      <c r="F6" s="7" t="s">
        <v>4633</v>
      </c>
      <c r="G6" s="7" t="s">
        <v>4634</v>
      </c>
      <c r="H6" s="7" t="s">
        <v>4635</v>
      </c>
      <c r="I6" s="7" t="s">
        <v>4636</v>
      </c>
      <c r="J6" s="7" t="s">
        <v>4637</v>
      </c>
      <c r="K6" s="7" t="s">
        <v>4638</v>
      </c>
      <c r="L6" s="7" t="s">
        <v>4639</v>
      </c>
      <c r="M6" s="7" t="s">
        <v>4640</v>
      </c>
    </row>
    <row r="7" spans="1:13" ht="72" customHeight="1" x14ac:dyDescent="0.2">
      <c r="A7" s="5" t="s">
        <v>3555</v>
      </c>
      <c r="B7" s="5" t="s">
        <v>3556</v>
      </c>
      <c r="C7" s="5" t="s">
        <v>3559</v>
      </c>
      <c r="D7" s="5" t="s">
        <v>3557</v>
      </c>
      <c r="E7" s="5" t="s">
        <v>4641</v>
      </c>
      <c r="F7" s="5" t="s">
        <v>4642</v>
      </c>
      <c r="G7" s="5"/>
      <c r="H7" s="5" t="s">
        <v>4643</v>
      </c>
      <c r="I7" s="5" t="s">
        <v>4644</v>
      </c>
      <c r="J7" s="8">
        <v>11349</v>
      </c>
      <c r="K7" s="5" t="s">
        <v>4645</v>
      </c>
      <c r="L7" s="5" t="s">
        <v>4646</v>
      </c>
      <c r="M7" s="5" t="s">
        <v>1267</v>
      </c>
    </row>
    <row r="8" spans="1:13" ht="72" customHeight="1" x14ac:dyDescent="0.2">
      <c r="A8" s="5" t="s">
        <v>3562</v>
      </c>
      <c r="B8" s="5" t="s">
        <v>3556</v>
      </c>
      <c r="C8" s="5" t="s">
        <v>145</v>
      </c>
      <c r="D8" s="5" t="s">
        <v>3563</v>
      </c>
      <c r="E8" s="5" t="s">
        <v>885</v>
      </c>
      <c r="F8" s="5" t="s">
        <v>4647</v>
      </c>
      <c r="G8" s="5"/>
      <c r="H8" s="5" t="s">
        <v>4648</v>
      </c>
      <c r="I8" s="5" t="s">
        <v>4649</v>
      </c>
      <c r="J8" s="8">
        <v>3082904</v>
      </c>
      <c r="K8" s="5" t="s">
        <v>4645</v>
      </c>
      <c r="L8" s="5" t="s">
        <v>4646</v>
      </c>
      <c r="M8" s="5" t="s">
        <v>1267</v>
      </c>
    </row>
    <row r="9" spans="1:13" ht="72" customHeight="1" x14ac:dyDescent="0.2">
      <c r="A9" s="5" t="s">
        <v>3580</v>
      </c>
      <c r="B9" s="5" t="s">
        <v>3556</v>
      </c>
      <c r="C9" s="5" t="s">
        <v>3583</v>
      </c>
      <c r="D9" s="5" t="s">
        <v>3581</v>
      </c>
      <c r="E9" s="5" t="s">
        <v>4650</v>
      </c>
      <c r="F9" s="5" t="s">
        <v>4651</v>
      </c>
      <c r="G9" s="5"/>
      <c r="H9" s="5" t="s">
        <v>4652</v>
      </c>
      <c r="I9" s="5" t="s">
        <v>4653</v>
      </c>
      <c r="J9" s="8">
        <v>6466</v>
      </c>
      <c r="K9" s="5" t="s">
        <v>4645</v>
      </c>
      <c r="L9" s="5" t="s">
        <v>4646</v>
      </c>
      <c r="M9" s="5" t="s">
        <v>1267</v>
      </c>
    </row>
    <row r="10" spans="1:13" ht="72" customHeight="1" x14ac:dyDescent="0.2">
      <c r="A10" s="5" t="s">
        <v>3589</v>
      </c>
      <c r="B10" s="5" t="s">
        <v>3556</v>
      </c>
      <c r="C10" s="5" t="s">
        <v>3592</v>
      </c>
      <c r="D10" s="5" t="s">
        <v>3590</v>
      </c>
      <c r="E10" s="5" t="s">
        <v>4650</v>
      </c>
      <c r="F10" s="5" t="s">
        <v>4654</v>
      </c>
      <c r="G10" s="5"/>
      <c r="H10" s="5" t="s">
        <v>4655</v>
      </c>
      <c r="I10" s="5" t="s">
        <v>4656</v>
      </c>
      <c r="J10" s="8">
        <v>458457</v>
      </c>
      <c r="K10" s="5" t="s">
        <v>4645</v>
      </c>
      <c r="L10" s="5" t="s">
        <v>4646</v>
      </c>
      <c r="M10" s="5" t="s">
        <v>1267</v>
      </c>
    </row>
    <row r="11" spans="1:13" ht="72" customHeight="1" x14ac:dyDescent="0.2">
      <c r="A11" s="5" t="s">
        <v>3615</v>
      </c>
      <c r="B11" s="5" t="s">
        <v>3556</v>
      </c>
      <c r="C11" s="5" t="s">
        <v>3618</v>
      </c>
      <c r="D11" s="5" t="s">
        <v>3616</v>
      </c>
      <c r="E11" s="5" t="s">
        <v>4650</v>
      </c>
      <c r="F11" s="5" t="s">
        <v>4657</v>
      </c>
      <c r="G11" s="5"/>
      <c r="H11" s="5" t="s">
        <v>4652</v>
      </c>
      <c r="I11" s="5" t="s">
        <v>4658</v>
      </c>
      <c r="J11" s="8">
        <v>19351</v>
      </c>
      <c r="K11" s="5" t="s">
        <v>4645</v>
      </c>
      <c r="L11" s="5" t="s">
        <v>4646</v>
      </c>
      <c r="M11" s="5" t="s">
        <v>1267</v>
      </c>
    </row>
    <row r="12" spans="1:13" ht="72" customHeight="1" x14ac:dyDescent="0.2">
      <c r="A12" s="5" t="s">
        <v>3623</v>
      </c>
      <c r="B12" s="5" t="s">
        <v>3556</v>
      </c>
      <c r="C12" s="5" t="s">
        <v>3626</v>
      </c>
      <c r="D12" s="5" t="s">
        <v>3624</v>
      </c>
      <c r="E12" s="5" t="s">
        <v>4650</v>
      </c>
      <c r="F12" s="5" t="s">
        <v>4659</v>
      </c>
      <c r="G12" s="5"/>
      <c r="H12" s="5" t="s">
        <v>4655</v>
      </c>
      <c r="I12" s="5" t="s">
        <v>4660</v>
      </c>
      <c r="J12" s="8">
        <v>369924</v>
      </c>
      <c r="K12" s="5" t="s">
        <v>4645</v>
      </c>
      <c r="L12" s="5" t="s">
        <v>4646</v>
      </c>
      <c r="M12" s="5" t="s">
        <v>1267</v>
      </c>
    </row>
    <row r="13" spans="1:13" ht="72" customHeight="1" x14ac:dyDescent="0.2">
      <c r="A13" s="5" t="s">
        <v>3647</v>
      </c>
      <c r="B13" s="5" t="s">
        <v>3556</v>
      </c>
      <c r="C13" s="5" t="s">
        <v>3650</v>
      </c>
      <c r="D13" s="5" t="s">
        <v>3648</v>
      </c>
      <c r="E13" s="5" t="s">
        <v>4650</v>
      </c>
      <c r="F13" s="5" t="s">
        <v>4661</v>
      </c>
      <c r="G13" s="5"/>
      <c r="H13" s="5" t="s">
        <v>4652</v>
      </c>
      <c r="I13" s="5" t="s">
        <v>4662</v>
      </c>
      <c r="J13" s="8">
        <v>7432</v>
      </c>
      <c r="K13" s="5" t="s">
        <v>4645</v>
      </c>
      <c r="L13" s="5" t="s">
        <v>4646</v>
      </c>
      <c r="M13" s="5" t="s">
        <v>1267</v>
      </c>
    </row>
    <row r="14" spans="1:13" ht="72" customHeight="1" x14ac:dyDescent="0.2">
      <c r="A14" s="5" t="s">
        <v>3655</v>
      </c>
      <c r="B14" s="5" t="s">
        <v>3556</v>
      </c>
      <c r="C14" s="5" t="s">
        <v>3658</v>
      </c>
      <c r="D14" s="5" t="s">
        <v>3656</v>
      </c>
      <c r="E14" s="5" t="s">
        <v>4650</v>
      </c>
      <c r="F14" s="5" t="s">
        <v>4663</v>
      </c>
      <c r="G14" s="5"/>
      <c r="H14" s="5" t="s">
        <v>4655</v>
      </c>
      <c r="I14" s="5" t="s">
        <v>4664</v>
      </c>
      <c r="J14" s="8">
        <v>461773</v>
      </c>
      <c r="K14" s="5" t="s">
        <v>4645</v>
      </c>
      <c r="L14" s="5" t="s">
        <v>4646</v>
      </c>
      <c r="M14" s="5" t="s">
        <v>1267</v>
      </c>
    </row>
    <row r="15" spans="1:13" ht="72" customHeight="1" x14ac:dyDescent="0.2">
      <c r="A15" s="5" t="s">
        <v>3679</v>
      </c>
      <c r="B15" s="5" t="s">
        <v>3556</v>
      </c>
      <c r="C15" s="5" t="s">
        <v>3682</v>
      </c>
      <c r="D15" s="5" t="s">
        <v>3680</v>
      </c>
      <c r="E15" s="5" t="s">
        <v>4650</v>
      </c>
      <c r="F15" s="5" t="s">
        <v>4665</v>
      </c>
      <c r="G15" s="5"/>
      <c r="H15" s="5" t="s">
        <v>4652</v>
      </c>
      <c r="I15" s="5" t="s">
        <v>4666</v>
      </c>
      <c r="J15" s="8">
        <v>7188</v>
      </c>
      <c r="K15" s="5" t="s">
        <v>4645</v>
      </c>
      <c r="L15" s="5" t="s">
        <v>4646</v>
      </c>
      <c r="M15" s="5" t="s">
        <v>1267</v>
      </c>
    </row>
    <row r="16" spans="1:13" ht="72" customHeight="1" x14ac:dyDescent="0.2">
      <c r="A16" s="5" t="s">
        <v>3687</v>
      </c>
      <c r="B16" s="5" t="s">
        <v>3556</v>
      </c>
      <c r="C16" s="5" t="s">
        <v>3690</v>
      </c>
      <c r="D16" s="5" t="s">
        <v>3688</v>
      </c>
      <c r="E16" s="5" t="s">
        <v>4650</v>
      </c>
      <c r="F16" s="5" t="s">
        <v>4667</v>
      </c>
      <c r="G16" s="5"/>
      <c r="H16" s="5" t="s">
        <v>4655</v>
      </c>
      <c r="I16" s="5" t="s">
        <v>4668</v>
      </c>
      <c r="J16" s="8">
        <v>557403</v>
      </c>
      <c r="K16" s="5" t="s">
        <v>4645</v>
      </c>
      <c r="L16" s="5" t="s">
        <v>4646</v>
      </c>
      <c r="M16" s="5" t="s">
        <v>1267</v>
      </c>
    </row>
    <row r="17" spans="1:13" ht="72" customHeight="1" x14ac:dyDescent="0.2">
      <c r="A17" s="5" t="s">
        <v>3711</v>
      </c>
      <c r="B17" s="5" t="s">
        <v>3556</v>
      </c>
      <c r="C17" s="5" t="s">
        <v>3714</v>
      </c>
      <c r="D17" s="5" t="s">
        <v>3712</v>
      </c>
      <c r="E17" s="5" t="s">
        <v>4650</v>
      </c>
      <c r="F17" s="5" t="s">
        <v>4669</v>
      </c>
      <c r="G17" s="5"/>
      <c r="H17" s="5" t="s">
        <v>4652</v>
      </c>
      <c r="I17" s="5" t="s">
        <v>4670</v>
      </c>
      <c r="J17" s="8">
        <v>7595</v>
      </c>
      <c r="K17" s="5" t="s">
        <v>4645</v>
      </c>
      <c r="L17" s="5" t="s">
        <v>4646</v>
      </c>
      <c r="M17" s="5" t="s">
        <v>1267</v>
      </c>
    </row>
    <row r="18" spans="1:13" ht="72" customHeight="1" x14ac:dyDescent="0.2">
      <c r="A18" s="5" t="s">
        <v>3719</v>
      </c>
      <c r="B18" s="5" t="s">
        <v>3556</v>
      </c>
      <c r="C18" s="5" t="s">
        <v>3722</v>
      </c>
      <c r="D18" s="5" t="s">
        <v>3720</v>
      </c>
      <c r="E18" s="5" t="s">
        <v>4650</v>
      </c>
      <c r="F18" s="5" t="s">
        <v>4671</v>
      </c>
      <c r="G18" s="5"/>
      <c r="H18" s="5" t="s">
        <v>4655</v>
      </c>
      <c r="I18" s="5" t="s">
        <v>4672</v>
      </c>
      <c r="J18" s="8">
        <v>406008</v>
      </c>
      <c r="K18" s="5" t="s">
        <v>4645</v>
      </c>
      <c r="L18" s="5" t="s">
        <v>4646</v>
      </c>
      <c r="M18" s="5" t="s">
        <v>1267</v>
      </c>
    </row>
    <row r="19" spans="1:13" ht="72" customHeight="1" x14ac:dyDescent="0.2">
      <c r="A19" s="5" t="s">
        <v>3743</v>
      </c>
      <c r="B19" s="5" t="s">
        <v>3556</v>
      </c>
      <c r="C19" s="5" t="s">
        <v>3746</v>
      </c>
      <c r="D19" s="5" t="s">
        <v>3744</v>
      </c>
      <c r="E19" s="5" t="s">
        <v>4650</v>
      </c>
      <c r="F19" s="5" t="s">
        <v>4673</v>
      </c>
      <c r="G19" s="5"/>
      <c r="H19" s="5" t="s">
        <v>4652</v>
      </c>
      <c r="I19" s="5" t="s">
        <v>4674</v>
      </c>
      <c r="J19" s="8">
        <v>20071</v>
      </c>
      <c r="K19" s="5" t="s">
        <v>4645</v>
      </c>
      <c r="L19" s="5" t="s">
        <v>4646</v>
      </c>
      <c r="M19" s="5" t="s">
        <v>1267</v>
      </c>
    </row>
    <row r="20" spans="1:13" ht="72" customHeight="1" x14ac:dyDescent="0.2">
      <c r="A20" s="5" t="s">
        <v>3751</v>
      </c>
      <c r="B20" s="5" t="s">
        <v>3556</v>
      </c>
      <c r="C20" s="5" t="s">
        <v>3754</v>
      </c>
      <c r="D20" s="5" t="s">
        <v>3752</v>
      </c>
      <c r="E20" s="5" t="s">
        <v>4650</v>
      </c>
      <c r="F20" s="5" t="s">
        <v>4675</v>
      </c>
      <c r="G20" s="5"/>
      <c r="H20" s="5" t="s">
        <v>4655</v>
      </c>
      <c r="I20" s="5" t="s">
        <v>4676</v>
      </c>
      <c r="J20" s="8">
        <v>303862</v>
      </c>
      <c r="K20" s="5" t="s">
        <v>4645</v>
      </c>
      <c r="L20" s="5" t="s">
        <v>4646</v>
      </c>
      <c r="M20" s="5" t="s">
        <v>1267</v>
      </c>
    </row>
    <row r="21" spans="1:13" ht="72" customHeight="1" x14ac:dyDescent="0.2">
      <c r="A21" s="5" t="s">
        <v>3775</v>
      </c>
      <c r="B21" s="5" t="s">
        <v>3556</v>
      </c>
      <c r="C21" s="5" t="s">
        <v>3778</v>
      </c>
      <c r="D21" s="5" t="s">
        <v>3776</v>
      </c>
      <c r="E21" s="5" t="s">
        <v>4650</v>
      </c>
      <c r="F21" s="5" t="s">
        <v>4677</v>
      </c>
      <c r="G21" s="5"/>
      <c r="H21" s="5" t="s">
        <v>4652</v>
      </c>
      <c r="I21" s="5" t="s">
        <v>4678</v>
      </c>
      <c r="J21" s="8">
        <v>9407</v>
      </c>
      <c r="K21" s="5" t="s">
        <v>4645</v>
      </c>
      <c r="L21" s="5" t="s">
        <v>4646</v>
      </c>
      <c r="M21" s="5" t="s">
        <v>1267</v>
      </c>
    </row>
    <row r="22" spans="1:13" ht="72" customHeight="1" x14ac:dyDescent="0.2">
      <c r="A22" s="5" t="s">
        <v>3783</v>
      </c>
      <c r="B22" s="5" t="s">
        <v>3556</v>
      </c>
      <c r="C22" s="5" t="s">
        <v>3786</v>
      </c>
      <c r="D22" s="5" t="s">
        <v>3784</v>
      </c>
      <c r="E22" s="5" t="s">
        <v>4650</v>
      </c>
      <c r="F22" s="5" t="s">
        <v>4679</v>
      </c>
      <c r="G22" s="5"/>
      <c r="H22" s="5" t="s">
        <v>4655</v>
      </c>
      <c r="I22" s="5" t="s">
        <v>4680</v>
      </c>
      <c r="J22" s="8">
        <v>280483</v>
      </c>
      <c r="K22" s="5" t="s">
        <v>4645</v>
      </c>
      <c r="L22" s="5" t="s">
        <v>4646</v>
      </c>
      <c r="M22" s="5" t="s">
        <v>1267</v>
      </c>
    </row>
    <row r="23" spans="1:13" ht="72" customHeight="1" x14ac:dyDescent="0.2">
      <c r="A23" s="5" t="s">
        <v>3807</v>
      </c>
      <c r="B23" s="5" t="s">
        <v>3556</v>
      </c>
      <c r="C23" s="5" t="s">
        <v>3810</v>
      </c>
      <c r="D23" s="5" t="s">
        <v>3808</v>
      </c>
      <c r="E23" s="5" t="s">
        <v>4650</v>
      </c>
      <c r="F23" s="5" t="s">
        <v>4681</v>
      </c>
      <c r="G23" s="5"/>
      <c r="H23" s="5" t="s">
        <v>4652</v>
      </c>
      <c r="I23" s="5" t="s">
        <v>4682</v>
      </c>
      <c r="J23" s="8">
        <v>11089</v>
      </c>
      <c r="K23" s="5" t="s">
        <v>4645</v>
      </c>
      <c r="L23" s="5" t="s">
        <v>4646</v>
      </c>
      <c r="M23" s="5" t="s">
        <v>1267</v>
      </c>
    </row>
    <row r="24" spans="1:13" ht="72" customHeight="1" x14ac:dyDescent="0.2">
      <c r="A24" s="5" t="s">
        <v>3815</v>
      </c>
      <c r="B24" s="5" t="s">
        <v>3556</v>
      </c>
      <c r="C24" s="5" t="s">
        <v>3818</v>
      </c>
      <c r="D24" s="5" t="s">
        <v>3816</v>
      </c>
      <c r="E24" s="5" t="s">
        <v>4650</v>
      </c>
      <c r="F24" s="5" t="s">
        <v>4683</v>
      </c>
      <c r="G24" s="5"/>
      <c r="H24" s="5" t="s">
        <v>4655</v>
      </c>
      <c r="I24" s="5" t="s">
        <v>4684</v>
      </c>
      <c r="J24" s="8">
        <v>410541</v>
      </c>
      <c r="K24" s="5" t="s">
        <v>4645</v>
      </c>
      <c r="L24" s="5" t="s">
        <v>4646</v>
      </c>
      <c r="M24" s="5" t="s">
        <v>1267</v>
      </c>
    </row>
    <row r="25" spans="1:13" ht="57" customHeight="1" x14ac:dyDescent="0.2">
      <c r="A25" s="5" t="s">
        <v>3880</v>
      </c>
      <c r="B25" s="5" t="s">
        <v>264</v>
      </c>
      <c r="C25" s="5" t="s">
        <v>3883</v>
      </c>
      <c r="D25" s="5" t="s">
        <v>3881</v>
      </c>
      <c r="E25" s="5" t="s">
        <v>1205</v>
      </c>
      <c r="F25" s="5" t="s">
        <v>4685</v>
      </c>
      <c r="G25" s="5"/>
      <c r="H25" s="5" t="s">
        <v>4686</v>
      </c>
      <c r="I25" s="5" t="s">
        <v>4687</v>
      </c>
      <c r="J25" s="8">
        <v>261346</v>
      </c>
      <c r="K25" s="5" t="s">
        <v>4688</v>
      </c>
      <c r="L25" s="5" t="s">
        <v>4689</v>
      </c>
      <c r="M25" s="5" t="s">
        <v>1267</v>
      </c>
    </row>
    <row r="26" spans="1:13" ht="57" customHeight="1" x14ac:dyDescent="0.2">
      <c r="A26" s="5" t="s">
        <v>3885</v>
      </c>
      <c r="B26" s="5" t="s">
        <v>264</v>
      </c>
      <c r="C26" s="5" t="s">
        <v>3888</v>
      </c>
      <c r="D26" s="5" t="s">
        <v>3886</v>
      </c>
      <c r="E26" s="5" t="s">
        <v>1205</v>
      </c>
      <c r="F26" s="5" t="s">
        <v>4690</v>
      </c>
      <c r="G26" s="5"/>
      <c r="H26" s="5" t="s">
        <v>4648</v>
      </c>
      <c r="I26" s="5" t="s">
        <v>4691</v>
      </c>
      <c r="J26" s="8">
        <v>2037263</v>
      </c>
      <c r="K26" s="5" t="s">
        <v>4688</v>
      </c>
      <c r="L26" s="5" t="s">
        <v>4689</v>
      </c>
      <c r="M26" s="5" t="s">
        <v>1267</v>
      </c>
    </row>
    <row r="27" spans="1:13" ht="57" customHeight="1" x14ac:dyDescent="0.2">
      <c r="A27" s="5" t="s">
        <v>3889</v>
      </c>
      <c r="B27" s="5" t="s">
        <v>264</v>
      </c>
      <c r="C27" s="5" t="s">
        <v>3892</v>
      </c>
      <c r="D27" s="5" t="s">
        <v>3890</v>
      </c>
      <c r="E27" s="5" t="s">
        <v>1205</v>
      </c>
      <c r="F27" s="5" t="s">
        <v>4692</v>
      </c>
      <c r="G27" s="5"/>
      <c r="H27" s="5" t="s">
        <v>4693</v>
      </c>
      <c r="I27" s="5" t="s">
        <v>4694</v>
      </c>
      <c r="J27" s="8">
        <v>2484</v>
      </c>
      <c r="K27" s="5" t="s">
        <v>4688</v>
      </c>
      <c r="L27" s="5" t="s">
        <v>4689</v>
      </c>
      <c r="M27" s="5" t="s">
        <v>1267</v>
      </c>
    </row>
    <row r="28" spans="1:13" ht="57" customHeight="1" x14ac:dyDescent="0.2">
      <c r="A28" s="5" t="s">
        <v>3893</v>
      </c>
      <c r="B28" s="5" t="s">
        <v>264</v>
      </c>
      <c r="C28" s="5" t="s">
        <v>3896</v>
      </c>
      <c r="D28" s="5" t="s">
        <v>3894</v>
      </c>
      <c r="E28" s="5" t="s">
        <v>4641</v>
      </c>
      <c r="F28" s="5" t="s">
        <v>4695</v>
      </c>
      <c r="G28" s="5"/>
      <c r="H28" s="5" t="s">
        <v>4643</v>
      </c>
      <c r="I28" s="5" t="s">
        <v>4696</v>
      </c>
      <c r="J28" s="8">
        <v>57457</v>
      </c>
      <c r="K28" s="5" t="s">
        <v>4688</v>
      </c>
      <c r="L28" s="5" t="s">
        <v>4689</v>
      </c>
      <c r="M28" s="5" t="s">
        <v>1267</v>
      </c>
    </row>
    <row r="29" spans="1:13" ht="57" customHeight="1" x14ac:dyDescent="0.2">
      <c r="A29" s="5" t="s">
        <v>4073</v>
      </c>
      <c r="B29" s="5" t="s">
        <v>264</v>
      </c>
      <c r="C29" s="5" t="s">
        <v>4076</v>
      </c>
      <c r="D29" s="5" t="s">
        <v>4074</v>
      </c>
      <c r="E29" s="5" t="s">
        <v>4641</v>
      </c>
      <c r="F29" s="5" t="s">
        <v>4697</v>
      </c>
      <c r="G29" s="5"/>
      <c r="H29" s="5" t="s">
        <v>4643</v>
      </c>
      <c r="I29" s="5" t="s">
        <v>4698</v>
      </c>
      <c r="J29" s="8">
        <v>63815</v>
      </c>
      <c r="K29" s="5" t="s">
        <v>4688</v>
      </c>
      <c r="L29" s="5" t="s">
        <v>4689</v>
      </c>
      <c r="M29" s="5" t="s">
        <v>1267</v>
      </c>
    </row>
    <row r="30" spans="1:13" ht="57" customHeight="1" x14ac:dyDescent="0.2">
      <c r="A30" s="5" t="s">
        <v>4077</v>
      </c>
      <c r="B30" s="5" t="s">
        <v>264</v>
      </c>
      <c r="C30" s="5" t="s">
        <v>4080</v>
      </c>
      <c r="D30" s="5" t="s">
        <v>4078</v>
      </c>
      <c r="E30" s="5" t="s">
        <v>4641</v>
      </c>
      <c r="F30" s="5" t="s">
        <v>4699</v>
      </c>
      <c r="G30" s="5"/>
      <c r="H30" s="5" t="s">
        <v>4643</v>
      </c>
      <c r="I30" s="5" t="s">
        <v>4700</v>
      </c>
      <c r="J30" s="8">
        <v>72793</v>
      </c>
      <c r="K30" s="5" t="s">
        <v>4688</v>
      </c>
      <c r="L30" s="5" t="s">
        <v>4689</v>
      </c>
      <c r="M30" s="5" t="s">
        <v>1267</v>
      </c>
    </row>
    <row r="31" spans="1:13" ht="57" customHeight="1" x14ac:dyDescent="0.2">
      <c r="A31" s="5" t="s">
        <v>4081</v>
      </c>
      <c r="B31" s="5" t="s">
        <v>264</v>
      </c>
      <c r="C31" s="5" t="s">
        <v>4084</v>
      </c>
      <c r="D31" s="5" t="s">
        <v>4082</v>
      </c>
      <c r="E31" s="5" t="s">
        <v>4641</v>
      </c>
      <c r="F31" s="5" t="s">
        <v>4701</v>
      </c>
      <c r="G31" s="5"/>
      <c r="H31" s="5" t="s">
        <v>4643</v>
      </c>
      <c r="I31" s="5" t="s">
        <v>4702</v>
      </c>
      <c r="J31" s="8">
        <v>1009</v>
      </c>
      <c r="K31" s="5" t="s">
        <v>4688</v>
      </c>
      <c r="L31" s="5" t="s">
        <v>4689</v>
      </c>
      <c r="M31" s="5" t="s">
        <v>1267</v>
      </c>
    </row>
    <row r="32" spans="1:13" ht="57" customHeight="1" x14ac:dyDescent="0.2">
      <c r="A32" s="5" t="s">
        <v>4085</v>
      </c>
      <c r="B32" s="5" t="s">
        <v>4703</v>
      </c>
      <c r="C32" s="5" t="s">
        <v>4089</v>
      </c>
      <c r="D32" s="5" t="s">
        <v>4087</v>
      </c>
      <c r="E32" s="5" t="s">
        <v>4641</v>
      </c>
      <c r="F32" s="5" t="s">
        <v>4704</v>
      </c>
      <c r="G32" s="5"/>
      <c r="H32" s="5" t="s">
        <v>4643</v>
      </c>
      <c r="I32" s="5" t="s">
        <v>4705</v>
      </c>
      <c r="J32" s="8">
        <v>6148</v>
      </c>
      <c r="K32" s="5" t="s">
        <v>4706</v>
      </c>
      <c r="L32" s="5" t="s">
        <v>4707</v>
      </c>
      <c r="M32" s="5" t="s">
        <v>1267</v>
      </c>
    </row>
    <row r="33" spans="1:13" ht="57" customHeight="1" x14ac:dyDescent="0.2">
      <c r="A33" s="5" t="s">
        <v>4091</v>
      </c>
      <c r="B33" s="5" t="s">
        <v>4703</v>
      </c>
      <c r="C33" s="5" t="s">
        <v>4094</v>
      </c>
      <c r="D33" s="5" t="s">
        <v>4092</v>
      </c>
      <c r="E33" s="5" t="s">
        <v>4708</v>
      </c>
      <c r="F33" s="5" t="s">
        <v>4709</v>
      </c>
      <c r="G33" s="5"/>
      <c r="H33" s="5" t="s">
        <v>4652</v>
      </c>
      <c r="I33" s="5" t="s">
        <v>4710</v>
      </c>
      <c r="J33" s="8">
        <v>4042</v>
      </c>
      <c r="K33" s="5" t="s">
        <v>4706</v>
      </c>
      <c r="L33" s="5" t="s">
        <v>4707</v>
      </c>
      <c r="M33" s="5" t="s">
        <v>1267</v>
      </c>
    </row>
    <row r="34" spans="1:13" ht="57" customHeight="1" x14ac:dyDescent="0.2">
      <c r="A34" s="5" t="s">
        <v>4095</v>
      </c>
      <c r="B34" s="5" t="s">
        <v>4703</v>
      </c>
      <c r="C34" s="5" t="s">
        <v>4098</v>
      </c>
      <c r="D34" s="5" t="s">
        <v>4096</v>
      </c>
      <c r="E34" s="5" t="s">
        <v>4641</v>
      </c>
      <c r="F34" s="5" t="s">
        <v>4711</v>
      </c>
      <c r="G34" s="5"/>
      <c r="H34" s="5" t="s">
        <v>4643</v>
      </c>
      <c r="I34" s="5" t="s">
        <v>4712</v>
      </c>
      <c r="J34" s="8">
        <v>7144</v>
      </c>
      <c r="K34" s="5" t="s">
        <v>4706</v>
      </c>
      <c r="L34" s="5" t="s">
        <v>4707</v>
      </c>
      <c r="M34" s="5" t="s">
        <v>1267</v>
      </c>
    </row>
    <row r="35" spans="1:13" ht="57" customHeight="1" x14ac:dyDescent="0.2">
      <c r="A35" s="5" t="s">
        <v>4099</v>
      </c>
      <c r="B35" s="5" t="s">
        <v>4703</v>
      </c>
      <c r="C35" s="5" t="s">
        <v>4102</v>
      </c>
      <c r="D35" s="5" t="s">
        <v>4100</v>
      </c>
      <c r="E35" s="5" t="s">
        <v>4713</v>
      </c>
      <c r="F35" s="5" t="s">
        <v>4714</v>
      </c>
      <c r="G35" s="5"/>
      <c r="H35" s="5" t="s">
        <v>4655</v>
      </c>
      <c r="I35" s="5" t="s">
        <v>4715</v>
      </c>
      <c r="J35" s="8">
        <v>301492</v>
      </c>
      <c r="K35" s="5" t="s">
        <v>4706</v>
      </c>
      <c r="L35" s="5" t="s">
        <v>4707</v>
      </c>
      <c r="M35" s="5" t="s">
        <v>1267</v>
      </c>
    </row>
    <row r="36" spans="1:13" ht="57" customHeight="1" x14ac:dyDescent="0.2">
      <c r="A36" s="5" t="s">
        <v>4103</v>
      </c>
      <c r="B36" s="5" t="s">
        <v>4703</v>
      </c>
      <c r="C36" s="5" t="s">
        <v>4106</v>
      </c>
      <c r="D36" s="5" t="s">
        <v>4104</v>
      </c>
      <c r="E36" s="5" t="s">
        <v>1205</v>
      </c>
      <c r="F36" s="5" t="s">
        <v>4716</v>
      </c>
      <c r="G36" s="5"/>
      <c r="H36" s="5" t="s">
        <v>4693</v>
      </c>
      <c r="I36" s="5" t="s">
        <v>4717</v>
      </c>
      <c r="J36" s="8">
        <v>722</v>
      </c>
      <c r="K36" s="5" t="s">
        <v>4706</v>
      </c>
      <c r="L36" s="5" t="s">
        <v>4707</v>
      </c>
      <c r="M36" s="5" t="s">
        <v>1267</v>
      </c>
    </row>
    <row r="37" spans="1:13" ht="57" customHeight="1" x14ac:dyDescent="0.2">
      <c r="A37" s="5" t="s">
        <v>4107</v>
      </c>
      <c r="B37" s="5" t="s">
        <v>4703</v>
      </c>
      <c r="C37" s="5" t="s">
        <v>4110</v>
      </c>
      <c r="D37" s="5" t="s">
        <v>4108</v>
      </c>
      <c r="E37" s="5" t="s">
        <v>4641</v>
      </c>
      <c r="F37" s="5" t="s">
        <v>4718</v>
      </c>
      <c r="G37" s="5"/>
      <c r="H37" s="5" t="s">
        <v>4643</v>
      </c>
      <c r="I37" s="5" t="s">
        <v>4719</v>
      </c>
      <c r="J37" s="8">
        <v>564</v>
      </c>
      <c r="K37" s="5" t="s">
        <v>4706</v>
      </c>
      <c r="L37" s="5" t="s">
        <v>4707</v>
      </c>
      <c r="M37" s="5" t="s">
        <v>1267</v>
      </c>
    </row>
    <row r="38" spans="1:13" ht="57" customHeight="1" x14ac:dyDescent="0.2">
      <c r="A38" s="5" t="s">
        <v>4111</v>
      </c>
      <c r="B38" s="5" t="s">
        <v>4720</v>
      </c>
      <c r="C38" s="5" t="s">
        <v>4115</v>
      </c>
      <c r="D38" s="5" t="s">
        <v>4113</v>
      </c>
      <c r="E38" s="5" t="s">
        <v>4650</v>
      </c>
      <c r="F38" s="5" t="s">
        <v>4721</v>
      </c>
      <c r="G38" s="5"/>
      <c r="H38" s="5" t="s">
        <v>4652</v>
      </c>
      <c r="I38" s="5" t="s">
        <v>4722</v>
      </c>
      <c r="J38" s="8">
        <v>6584</v>
      </c>
      <c r="K38" s="5" t="s">
        <v>4723</v>
      </c>
      <c r="L38" s="5" t="s">
        <v>4724</v>
      </c>
      <c r="M38" s="5" t="s">
        <v>1267</v>
      </c>
    </row>
    <row r="39" spans="1:13" ht="57" customHeight="1" x14ac:dyDescent="0.2">
      <c r="A39" s="5" t="s">
        <v>4117</v>
      </c>
      <c r="B39" s="5" t="s">
        <v>4720</v>
      </c>
      <c r="C39" s="5" t="s">
        <v>4120</v>
      </c>
      <c r="D39" s="5" t="s">
        <v>4118</v>
      </c>
      <c r="E39" s="5" t="s">
        <v>4713</v>
      </c>
      <c r="F39" s="5" t="s">
        <v>4725</v>
      </c>
      <c r="G39" s="5"/>
      <c r="H39" s="5" t="s">
        <v>4655</v>
      </c>
      <c r="I39" s="5" t="s">
        <v>4726</v>
      </c>
      <c r="J39" s="8">
        <v>390016</v>
      </c>
      <c r="K39" s="5" t="s">
        <v>4723</v>
      </c>
      <c r="L39" s="5" t="s">
        <v>4724</v>
      </c>
      <c r="M39" s="5" t="s">
        <v>1267</v>
      </c>
    </row>
    <row r="40" spans="1:13" ht="57" customHeight="1" x14ac:dyDescent="0.2">
      <c r="A40" s="5" t="s">
        <v>4121</v>
      </c>
      <c r="B40" s="5" t="s">
        <v>4720</v>
      </c>
      <c r="C40" s="5" t="s">
        <v>4124</v>
      </c>
      <c r="D40" s="5" t="s">
        <v>4122</v>
      </c>
      <c r="E40" s="5" t="s">
        <v>4641</v>
      </c>
      <c r="F40" s="5" t="s">
        <v>4727</v>
      </c>
      <c r="G40" s="5"/>
      <c r="H40" s="5" t="s">
        <v>4643</v>
      </c>
      <c r="I40" s="5" t="s">
        <v>4728</v>
      </c>
      <c r="J40" s="8">
        <v>640</v>
      </c>
      <c r="K40" s="5" t="s">
        <v>4723</v>
      </c>
      <c r="L40" s="5" t="s">
        <v>4724</v>
      </c>
      <c r="M40" s="5" t="s">
        <v>1267</v>
      </c>
    </row>
    <row r="41" spans="1:13" ht="57" customHeight="1" x14ac:dyDescent="0.2">
      <c r="A41" s="5" t="s">
        <v>4132</v>
      </c>
      <c r="B41" s="5" t="s">
        <v>4720</v>
      </c>
      <c r="C41" s="5" t="s">
        <v>4135</v>
      </c>
      <c r="D41" s="5" t="s">
        <v>4133</v>
      </c>
      <c r="E41" s="5" t="s">
        <v>4650</v>
      </c>
      <c r="F41" s="5" t="s">
        <v>4729</v>
      </c>
      <c r="G41" s="5"/>
      <c r="H41" s="5" t="s">
        <v>4652</v>
      </c>
      <c r="I41" s="5" t="s">
        <v>4730</v>
      </c>
      <c r="J41" s="8">
        <v>4123</v>
      </c>
      <c r="K41" s="5" t="s">
        <v>4723</v>
      </c>
      <c r="L41" s="5" t="s">
        <v>4724</v>
      </c>
      <c r="M41" s="5" t="s">
        <v>1267</v>
      </c>
    </row>
    <row r="42" spans="1:13" ht="57" customHeight="1" x14ac:dyDescent="0.2">
      <c r="A42" s="5" t="s">
        <v>4136</v>
      </c>
      <c r="B42" s="5" t="s">
        <v>4720</v>
      </c>
      <c r="C42" s="5" t="s">
        <v>4139</v>
      </c>
      <c r="D42" s="5" t="s">
        <v>4137</v>
      </c>
      <c r="E42" s="5" t="s">
        <v>4713</v>
      </c>
      <c r="F42" s="5" t="s">
        <v>4731</v>
      </c>
      <c r="G42" s="5"/>
      <c r="H42" s="5" t="s">
        <v>4655</v>
      </c>
      <c r="I42" s="5" t="s">
        <v>4732</v>
      </c>
      <c r="J42" s="8">
        <v>367497</v>
      </c>
      <c r="K42" s="5" t="s">
        <v>4723</v>
      </c>
      <c r="L42" s="5" t="s">
        <v>4724</v>
      </c>
      <c r="M42" s="5" t="s">
        <v>1267</v>
      </c>
    </row>
    <row r="43" spans="1:13" ht="57" customHeight="1" x14ac:dyDescent="0.2">
      <c r="A43" s="5" t="s">
        <v>4140</v>
      </c>
      <c r="B43" s="5" t="s">
        <v>4720</v>
      </c>
      <c r="C43" s="5" t="s">
        <v>4143</v>
      </c>
      <c r="D43" s="5" t="s">
        <v>4141</v>
      </c>
      <c r="E43" s="5" t="s">
        <v>4641</v>
      </c>
      <c r="F43" s="5" t="s">
        <v>4733</v>
      </c>
      <c r="G43" s="5"/>
      <c r="H43" s="5" t="s">
        <v>4643</v>
      </c>
      <c r="I43" s="5" t="s">
        <v>4734</v>
      </c>
      <c r="J43" s="8">
        <v>1095</v>
      </c>
      <c r="K43" s="5" t="s">
        <v>4723</v>
      </c>
      <c r="L43" s="5" t="s">
        <v>4724</v>
      </c>
      <c r="M43" s="5" t="s">
        <v>1267</v>
      </c>
    </row>
    <row r="44" spans="1:13" ht="57" customHeight="1" x14ac:dyDescent="0.2">
      <c r="A44" s="5" t="s">
        <v>4151</v>
      </c>
      <c r="B44" s="5" t="s">
        <v>4735</v>
      </c>
      <c r="C44" s="5" t="s">
        <v>4155</v>
      </c>
      <c r="D44" s="5" t="s">
        <v>4153</v>
      </c>
      <c r="E44" s="5" t="s">
        <v>4650</v>
      </c>
      <c r="F44" s="5" t="s">
        <v>4736</v>
      </c>
      <c r="G44" s="5"/>
      <c r="H44" s="5" t="s">
        <v>4652</v>
      </c>
      <c r="I44" s="5" t="s">
        <v>4737</v>
      </c>
      <c r="J44" s="8">
        <v>11992</v>
      </c>
      <c r="K44" s="5" t="s">
        <v>4738</v>
      </c>
      <c r="L44" s="5" t="s">
        <v>4724</v>
      </c>
      <c r="M44" s="5" t="s">
        <v>1267</v>
      </c>
    </row>
    <row r="45" spans="1:13" ht="57" customHeight="1" x14ac:dyDescent="0.2">
      <c r="A45" s="5" t="s">
        <v>4157</v>
      </c>
      <c r="B45" s="5" t="s">
        <v>4735</v>
      </c>
      <c r="C45" s="5" t="s">
        <v>4160</v>
      </c>
      <c r="D45" s="5" t="s">
        <v>4158</v>
      </c>
      <c r="E45" s="5" t="s">
        <v>4713</v>
      </c>
      <c r="F45" s="5" t="s">
        <v>4739</v>
      </c>
      <c r="G45" s="5"/>
      <c r="H45" s="5" t="s">
        <v>4655</v>
      </c>
      <c r="I45" s="5" t="s">
        <v>4740</v>
      </c>
      <c r="J45" s="8">
        <v>403216</v>
      </c>
      <c r="K45" s="5" t="s">
        <v>4738</v>
      </c>
      <c r="L45" s="5" t="s">
        <v>4724</v>
      </c>
      <c r="M45" s="5" t="s">
        <v>1267</v>
      </c>
    </row>
    <row r="46" spans="1:13" ht="57" customHeight="1" x14ac:dyDescent="0.2">
      <c r="A46" s="5" t="s">
        <v>4161</v>
      </c>
      <c r="B46" s="5" t="s">
        <v>4735</v>
      </c>
      <c r="C46" s="5" t="s">
        <v>4164</v>
      </c>
      <c r="D46" s="5" t="s">
        <v>4162</v>
      </c>
      <c r="E46" s="5" t="s">
        <v>4641</v>
      </c>
      <c r="F46" s="5" t="s">
        <v>4741</v>
      </c>
      <c r="G46" s="5"/>
      <c r="H46" s="5" t="s">
        <v>4643</v>
      </c>
      <c r="I46" s="5" t="s">
        <v>4742</v>
      </c>
      <c r="J46" s="8">
        <v>33501</v>
      </c>
      <c r="K46" s="5" t="s">
        <v>4738</v>
      </c>
      <c r="L46" s="5" t="s">
        <v>4724</v>
      </c>
      <c r="M46" s="5" t="s">
        <v>1267</v>
      </c>
    </row>
    <row r="47" spans="1:13" ht="57" customHeight="1" x14ac:dyDescent="0.2">
      <c r="A47" s="5" t="s">
        <v>4172</v>
      </c>
      <c r="B47" s="5" t="s">
        <v>4743</v>
      </c>
      <c r="C47" s="5" t="s">
        <v>4176</v>
      </c>
      <c r="D47" s="5" t="s">
        <v>4174</v>
      </c>
      <c r="E47" s="5" t="s">
        <v>4650</v>
      </c>
      <c r="F47" s="5" t="s">
        <v>4744</v>
      </c>
      <c r="G47" s="5"/>
      <c r="H47" s="5" t="s">
        <v>4652</v>
      </c>
      <c r="I47" s="5" t="s">
        <v>4745</v>
      </c>
      <c r="J47" s="8">
        <v>6560</v>
      </c>
      <c r="K47" s="5" t="s">
        <v>4746</v>
      </c>
      <c r="L47" s="5" t="s">
        <v>4724</v>
      </c>
      <c r="M47" s="5" t="s">
        <v>1267</v>
      </c>
    </row>
    <row r="48" spans="1:13" ht="57" customHeight="1" x14ac:dyDescent="0.2">
      <c r="A48" s="5" t="s">
        <v>4178</v>
      </c>
      <c r="B48" s="5" t="s">
        <v>4743</v>
      </c>
      <c r="C48" s="5" t="s">
        <v>4181</v>
      </c>
      <c r="D48" s="5" t="s">
        <v>4179</v>
      </c>
      <c r="E48" s="5" t="s">
        <v>4713</v>
      </c>
      <c r="F48" s="5" t="s">
        <v>4747</v>
      </c>
      <c r="G48" s="5"/>
      <c r="H48" s="5" t="s">
        <v>4655</v>
      </c>
      <c r="I48" s="5" t="s">
        <v>4748</v>
      </c>
      <c r="J48" s="8">
        <v>450561</v>
      </c>
      <c r="K48" s="5" t="s">
        <v>4746</v>
      </c>
      <c r="L48" s="5" t="s">
        <v>4724</v>
      </c>
      <c r="M48" s="5" t="s">
        <v>1267</v>
      </c>
    </row>
    <row r="49" spans="1:13" ht="57" customHeight="1" x14ac:dyDescent="0.2">
      <c r="A49" s="5" t="s">
        <v>4182</v>
      </c>
      <c r="B49" s="5" t="s">
        <v>4743</v>
      </c>
      <c r="C49" s="5" t="s">
        <v>4185</v>
      </c>
      <c r="D49" s="5" t="s">
        <v>4183</v>
      </c>
      <c r="E49" s="5" t="s">
        <v>4641</v>
      </c>
      <c r="F49" s="5" t="s">
        <v>4749</v>
      </c>
      <c r="G49" s="5"/>
      <c r="H49" s="5" t="s">
        <v>4643</v>
      </c>
      <c r="I49" s="5" t="s">
        <v>4750</v>
      </c>
      <c r="J49" s="8">
        <v>5219</v>
      </c>
      <c r="K49" s="5" t="s">
        <v>4746</v>
      </c>
      <c r="L49" s="5" t="s">
        <v>4724</v>
      </c>
      <c r="M49" s="5" t="s">
        <v>1267</v>
      </c>
    </row>
    <row r="50" spans="1:13" ht="57" customHeight="1" x14ac:dyDescent="0.2">
      <c r="A50" s="5" t="s">
        <v>4193</v>
      </c>
      <c r="B50" s="5" t="s">
        <v>4751</v>
      </c>
      <c r="C50" s="5" t="s">
        <v>4197</v>
      </c>
      <c r="D50" s="5" t="s">
        <v>4195</v>
      </c>
      <c r="E50" s="5" t="s">
        <v>4650</v>
      </c>
      <c r="F50" s="5" t="s">
        <v>4752</v>
      </c>
      <c r="G50" s="5"/>
      <c r="H50" s="5" t="s">
        <v>4652</v>
      </c>
      <c r="I50" s="5" t="s">
        <v>4753</v>
      </c>
      <c r="J50" s="8">
        <v>6381</v>
      </c>
      <c r="K50" s="5" t="s">
        <v>4754</v>
      </c>
      <c r="L50" s="5" t="s">
        <v>4724</v>
      </c>
      <c r="M50" s="5" t="s">
        <v>1267</v>
      </c>
    </row>
    <row r="51" spans="1:13" ht="57" customHeight="1" x14ac:dyDescent="0.2">
      <c r="A51" s="5" t="s">
        <v>4199</v>
      </c>
      <c r="B51" s="5" t="s">
        <v>4751</v>
      </c>
      <c r="C51" s="5" t="s">
        <v>4202</v>
      </c>
      <c r="D51" s="5" t="s">
        <v>4200</v>
      </c>
      <c r="E51" s="5" t="s">
        <v>4713</v>
      </c>
      <c r="F51" s="5" t="s">
        <v>4755</v>
      </c>
      <c r="G51" s="5"/>
      <c r="H51" s="5" t="s">
        <v>4655</v>
      </c>
      <c r="I51" s="5" t="s">
        <v>4756</v>
      </c>
      <c r="J51" s="8">
        <v>543345</v>
      </c>
      <c r="K51" s="5" t="s">
        <v>4754</v>
      </c>
      <c r="L51" s="5" t="s">
        <v>4724</v>
      </c>
      <c r="M51" s="5" t="s">
        <v>1267</v>
      </c>
    </row>
    <row r="52" spans="1:13" ht="57" customHeight="1" x14ac:dyDescent="0.2">
      <c r="A52" s="5" t="s">
        <v>4203</v>
      </c>
      <c r="B52" s="5" t="s">
        <v>4751</v>
      </c>
      <c r="C52" s="5" t="s">
        <v>4206</v>
      </c>
      <c r="D52" s="5" t="s">
        <v>4204</v>
      </c>
      <c r="E52" s="5" t="s">
        <v>4641</v>
      </c>
      <c r="F52" s="5" t="s">
        <v>4757</v>
      </c>
      <c r="G52" s="5"/>
      <c r="H52" s="5" t="s">
        <v>4643</v>
      </c>
      <c r="I52" s="5" t="s">
        <v>4758</v>
      </c>
      <c r="J52" s="8">
        <v>6740</v>
      </c>
      <c r="K52" s="5" t="s">
        <v>4754</v>
      </c>
      <c r="L52" s="5" t="s">
        <v>4724</v>
      </c>
      <c r="M52" s="5" t="s">
        <v>1267</v>
      </c>
    </row>
    <row r="53" spans="1:13" ht="57" customHeight="1" x14ac:dyDescent="0.2">
      <c r="A53" s="5" t="s">
        <v>4214</v>
      </c>
      <c r="B53" s="5" t="s">
        <v>4759</v>
      </c>
      <c r="C53" s="5" t="s">
        <v>4218</v>
      </c>
      <c r="D53" s="5" t="s">
        <v>4216</v>
      </c>
      <c r="E53" s="5" t="s">
        <v>4650</v>
      </c>
      <c r="F53" s="5" t="s">
        <v>4760</v>
      </c>
      <c r="G53" s="5"/>
      <c r="H53" s="5" t="s">
        <v>4652</v>
      </c>
      <c r="I53" s="5" t="s">
        <v>4761</v>
      </c>
      <c r="J53" s="8">
        <v>5905</v>
      </c>
      <c r="K53" s="5" t="s">
        <v>4762</v>
      </c>
      <c r="L53" s="5" t="s">
        <v>4724</v>
      </c>
      <c r="M53" s="5" t="s">
        <v>1267</v>
      </c>
    </row>
    <row r="54" spans="1:13" ht="57" customHeight="1" x14ac:dyDescent="0.2">
      <c r="A54" s="5" t="s">
        <v>4220</v>
      </c>
      <c r="B54" s="5" t="s">
        <v>4759</v>
      </c>
      <c r="C54" s="5" t="s">
        <v>4223</v>
      </c>
      <c r="D54" s="5" t="s">
        <v>4221</v>
      </c>
      <c r="E54" s="5" t="s">
        <v>4713</v>
      </c>
      <c r="F54" s="5" t="s">
        <v>4763</v>
      </c>
      <c r="G54" s="5"/>
      <c r="H54" s="5" t="s">
        <v>4655</v>
      </c>
      <c r="I54" s="5" t="s">
        <v>4764</v>
      </c>
      <c r="J54" s="8">
        <v>489713</v>
      </c>
      <c r="K54" s="5" t="s">
        <v>4762</v>
      </c>
      <c r="L54" s="5" t="s">
        <v>4724</v>
      </c>
      <c r="M54" s="5" t="s">
        <v>1267</v>
      </c>
    </row>
    <row r="55" spans="1:13" ht="57" customHeight="1" x14ac:dyDescent="0.2">
      <c r="A55" s="5" t="s">
        <v>4224</v>
      </c>
      <c r="B55" s="5" t="s">
        <v>4759</v>
      </c>
      <c r="C55" s="5" t="s">
        <v>4227</v>
      </c>
      <c r="D55" s="5" t="s">
        <v>4225</v>
      </c>
      <c r="E55" s="5" t="s">
        <v>4641</v>
      </c>
      <c r="F55" s="5" t="s">
        <v>4765</v>
      </c>
      <c r="G55" s="5"/>
      <c r="H55" s="5" t="s">
        <v>4643</v>
      </c>
      <c r="I55" s="5" t="s">
        <v>4766</v>
      </c>
      <c r="J55" s="8">
        <v>2971</v>
      </c>
      <c r="K55" s="5" t="s">
        <v>4762</v>
      </c>
      <c r="L55" s="5" t="s">
        <v>4724</v>
      </c>
      <c r="M55" s="5" t="s">
        <v>1267</v>
      </c>
    </row>
    <row r="56" spans="1:13" ht="57" customHeight="1" x14ac:dyDescent="0.2">
      <c r="A56" s="5" t="s">
        <v>4235</v>
      </c>
      <c r="B56" s="5" t="s">
        <v>4759</v>
      </c>
      <c r="C56" s="5" t="s">
        <v>4238</v>
      </c>
      <c r="D56" s="5" t="s">
        <v>4236</v>
      </c>
      <c r="E56" s="5" t="s">
        <v>4650</v>
      </c>
      <c r="F56" s="5" t="s">
        <v>4767</v>
      </c>
      <c r="G56" s="5"/>
      <c r="H56" s="5" t="s">
        <v>4652</v>
      </c>
      <c r="I56" s="5" t="s">
        <v>4768</v>
      </c>
      <c r="J56" s="8">
        <v>7397</v>
      </c>
      <c r="K56" s="5" t="s">
        <v>4762</v>
      </c>
      <c r="L56" s="5" t="s">
        <v>4724</v>
      </c>
      <c r="M56" s="5" t="s">
        <v>1267</v>
      </c>
    </row>
    <row r="57" spans="1:13" ht="57" customHeight="1" x14ac:dyDescent="0.2">
      <c r="A57" s="5" t="s">
        <v>4239</v>
      </c>
      <c r="B57" s="5" t="s">
        <v>4759</v>
      </c>
      <c r="C57" s="5" t="s">
        <v>4242</v>
      </c>
      <c r="D57" s="5" t="s">
        <v>4240</v>
      </c>
      <c r="E57" s="5" t="s">
        <v>4713</v>
      </c>
      <c r="F57" s="5" t="s">
        <v>4769</v>
      </c>
      <c r="G57" s="5"/>
      <c r="H57" s="5" t="s">
        <v>4655</v>
      </c>
      <c r="I57" s="5" t="s">
        <v>4770</v>
      </c>
      <c r="J57" s="8">
        <v>517901</v>
      </c>
      <c r="K57" s="5" t="s">
        <v>4762</v>
      </c>
      <c r="L57" s="5" t="s">
        <v>4724</v>
      </c>
      <c r="M57" s="5" t="s">
        <v>1267</v>
      </c>
    </row>
    <row r="58" spans="1:13" ht="57" customHeight="1" x14ac:dyDescent="0.2">
      <c r="A58" s="5" t="s">
        <v>4243</v>
      </c>
      <c r="B58" s="5" t="s">
        <v>4759</v>
      </c>
      <c r="C58" s="5" t="s">
        <v>4246</v>
      </c>
      <c r="D58" s="5" t="s">
        <v>4244</v>
      </c>
      <c r="E58" s="5" t="s">
        <v>4641</v>
      </c>
      <c r="F58" s="5" t="s">
        <v>4771</v>
      </c>
      <c r="G58" s="5"/>
      <c r="H58" s="5" t="s">
        <v>4643</v>
      </c>
      <c r="I58" s="5" t="s">
        <v>4772</v>
      </c>
      <c r="J58" s="8">
        <v>1436</v>
      </c>
      <c r="K58" s="5" t="s">
        <v>4762</v>
      </c>
      <c r="L58" s="5" t="s">
        <v>4724</v>
      </c>
      <c r="M58" s="5" t="s">
        <v>1267</v>
      </c>
    </row>
    <row r="59" spans="1:13" ht="57" customHeight="1" x14ac:dyDescent="0.2">
      <c r="A59" s="5" t="s">
        <v>4254</v>
      </c>
      <c r="B59" s="5" t="s">
        <v>4773</v>
      </c>
      <c r="C59" s="5" t="s">
        <v>4258</v>
      </c>
      <c r="D59" s="5" t="s">
        <v>4256</v>
      </c>
      <c r="E59" s="5" t="s">
        <v>4641</v>
      </c>
      <c r="F59" s="5" t="s">
        <v>4774</v>
      </c>
      <c r="G59" s="5"/>
      <c r="H59" s="5" t="s">
        <v>4643</v>
      </c>
      <c r="I59" s="5" t="s">
        <v>4775</v>
      </c>
      <c r="J59" s="8">
        <v>7943</v>
      </c>
      <c r="K59" s="5" t="s">
        <v>4776</v>
      </c>
      <c r="L59" s="5" t="s">
        <v>4777</v>
      </c>
      <c r="M59" s="5" t="s">
        <v>1267</v>
      </c>
    </row>
    <row r="60" spans="1:13" ht="57" customHeight="1" x14ac:dyDescent="0.2">
      <c r="A60" s="5" t="s">
        <v>4260</v>
      </c>
      <c r="B60" s="5" t="s">
        <v>4773</v>
      </c>
      <c r="C60" s="5" t="s">
        <v>4263</v>
      </c>
      <c r="D60" s="5" t="s">
        <v>4261</v>
      </c>
      <c r="E60" s="5" t="s">
        <v>4641</v>
      </c>
      <c r="F60" s="5" t="s">
        <v>4778</v>
      </c>
      <c r="G60" s="5"/>
      <c r="H60" s="5" t="s">
        <v>4643</v>
      </c>
      <c r="I60" s="5" t="s">
        <v>4779</v>
      </c>
      <c r="J60" s="8">
        <v>13138</v>
      </c>
      <c r="K60" s="5" t="s">
        <v>4776</v>
      </c>
      <c r="L60" s="5" t="s">
        <v>4777</v>
      </c>
      <c r="M60" s="5" t="s">
        <v>1267</v>
      </c>
    </row>
    <row r="61" spans="1:13" ht="57" customHeight="1" x14ac:dyDescent="0.2">
      <c r="A61" s="5" t="s">
        <v>4264</v>
      </c>
      <c r="B61" s="5" t="s">
        <v>4773</v>
      </c>
      <c r="C61" s="5" t="s">
        <v>4267</v>
      </c>
      <c r="D61" s="5" t="s">
        <v>4265</v>
      </c>
      <c r="E61" s="5" t="s">
        <v>1205</v>
      </c>
      <c r="F61" s="5" t="s">
        <v>4780</v>
      </c>
      <c r="G61" s="5"/>
      <c r="H61" s="5" t="s">
        <v>4693</v>
      </c>
      <c r="I61" s="5" t="s">
        <v>4781</v>
      </c>
      <c r="J61" s="8">
        <v>4096</v>
      </c>
      <c r="K61" s="5" t="s">
        <v>4776</v>
      </c>
      <c r="L61" s="5" t="s">
        <v>4777</v>
      </c>
      <c r="M61" s="5" t="s">
        <v>1267</v>
      </c>
    </row>
    <row r="62" spans="1:13" ht="57" customHeight="1" x14ac:dyDescent="0.2">
      <c r="A62" s="5" t="s">
        <v>4366</v>
      </c>
      <c r="B62" s="5" t="s">
        <v>4782</v>
      </c>
      <c r="C62" s="5" t="s">
        <v>154</v>
      </c>
      <c r="D62" s="5" t="s">
        <v>4367</v>
      </c>
      <c r="E62" s="5" t="s">
        <v>885</v>
      </c>
      <c r="F62" s="5" t="s">
        <v>4783</v>
      </c>
      <c r="G62" s="5"/>
      <c r="H62" s="5" t="s">
        <v>4648</v>
      </c>
      <c r="I62" s="5" t="s">
        <v>4784</v>
      </c>
      <c r="J62" s="8">
        <v>2673071</v>
      </c>
      <c r="K62" s="5" t="s">
        <v>4785</v>
      </c>
      <c r="L62" s="5" t="s">
        <v>4786</v>
      </c>
      <c r="M62" s="5" t="s">
        <v>1267</v>
      </c>
    </row>
    <row r="63" spans="1:13" ht="57" customHeight="1" x14ac:dyDescent="0.2">
      <c r="A63" s="5" t="s">
        <v>4369</v>
      </c>
      <c r="B63" s="5" t="s">
        <v>4782</v>
      </c>
      <c r="C63" s="5" t="s">
        <v>4372</v>
      </c>
      <c r="D63" s="5" t="s">
        <v>4370</v>
      </c>
      <c r="E63" s="5" t="s">
        <v>4641</v>
      </c>
      <c r="F63" s="5" t="s">
        <v>4787</v>
      </c>
      <c r="G63" s="5"/>
      <c r="H63" s="5" t="s">
        <v>4643</v>
      </c>
      <c r="I63" s="5" t="s">
        <v>4788</v>
      </c>
      <c r="J63" s="8">
        <v>24449</v>
      </c>
      <c r="K63" s="5" t="s">
        <v>4785</v>
      </c>
      <c r="L63" s="5" t="s">
        <v>4786</v>
      </c>
      <c r="M63" s="5" t="s">
        <v>1267</v>
      </c>
    </row>
    <row r="64" spans="1:13" ht="57" customHeight="1" x14ac:dyDescent="0.2">
      <c r="A64" s="5" t="s">
        <v>4373</v>
      </c>
      <c r="B64" s="5" t="s">
        <v>4782</v>
      </c>
      <c r="C64" s="5" t="s">
        <v>4376</v>
      </c>
      <c r="D64" s="5" t="s">
        <v>4374</v>
      </c>
      <c r="E64" s="5" t="s">
        <v>4641</v>
      </c>
      <c r="F64" s="5" t="s">
        <v>4789</v>
      </c>
      <c r="G64" s="5"/>
      <c r="H64" s="5" t="s">
        <v>4643</v>
      </c>
      <c r="I64" s="5" t="s">
        <v>4790</v>
      </c>
      <c r="J64" s="8">
        <v>4165</v>
      </c>
      <c r="K64" s="5" t="s">
        <v>4785</v>
      </c>
      <c r="L64" s="5" t="s">
        <v>4786</v>
      </c>
      <c r="M64" s="5" t="s">
        <v>1267</v>
      </c>
    </row>
    <row r="65" spans="1:13" ht="57" customHeight="1" x14ac:dyDescent="0.2">
      <c r="A65" s="5" t="s">
        <v>4377</v>
      </c>
      <c r="B65" s="5" t="s">
        <v>4782</v>
      </c>
      <c r="C65" s="5" t="s">
        <v>4380</v>
      </c>
      <c r="D65" s="5" t="s">
        <v>4378</v>
      </c>
      <c r="E65" s="5" t="s">
        <v>4791</v>
      </c>
      <c r="F65" s="5" t="s">
        <v>4792</v>
      </c>
      <c r="G65" s="5"/>
      <c r="H65" s="5" t="s">
        <v>4793</v>
      </c>
      <c r="I65" s="5" t="s">
        <v>4794</v>
      </c>
      <c r="J65" s="8">
        <v>28586</v>
      </c>
      <c r="K65" s="5" t="s">
        <v>4785</v>
      </c>
      <c r="L65" s="5" t="s">
        <v>4786</v>
      </c>
      <c r="M65" s="5" t="s">
        <v>1267</v>
      </c>
    </row>
    <row r="66" spans="1:13" ht="57" customHeight="1" x14ac:dyDescent="0.2">
      <c r="A66" s="5" t="s">
        <v>4381</v>
      </c>
      <c r="B66" s="5" t="s">
        <v>4782</v>
      </c>
      <c r="C66" s="5" t="s">
        <v>4384</v>
      </c>
      <c r="D66" s="5" t="s">
        <v>4382</v>
      </c>
      <c r="E66" s="5" t="s">
        <v>4641</v>
      </c>
      <c r="F66" s="5" t="s">
        <v>4795</v>
      </c>
      <c r="G66" s="5"/>
      <c r="H66" s="5" t="s">
        <v>4643</v>
      </c>
      <c r="I66" s="5" t="s">
        <v>4796</v>
      </c>
      <c r="J66" s="8">
        <v>953</v>
      </c>
      <c r="K66" s="5" t="s">
        <v>4785</v>
      </c>
      <c r="L66" s="5" t="s">
        <v>4786</v>
      </c>
      <c r="M66" s="5" t="s">
        <v>1267</v>
      </c>
    </row>
    <row r="67" spans="1:13" ht="57" customHeight="1" x14ac:dyDescent="0.2">
      <c r="A67" s="5" t="s">
        <v>4385</v>
      </c>
      <c r="B67" s="5" t="s">
        <v>4797</v>
      </c>
      <c r="C67" s="5" t="s">
        <v>4389</v>
      </c>
      <c r="D67" s="5" t="s">
        <v>4387</v>
      </c>
      <c r="E67" s="5" t="s">
        <v>4641</v>
      </c>
      <c r="F67" s="5" t="s">
        <v>4798</v>
      </c>
      <c r="G67" s="5"/>
      <c r="H67" s="5" t="s">
        <v>4643</v>
      </c>
      <c r="I67" s="5" t="s">
        <v>4799</v>
      </c>
      <c r="J67" s="8">
        <v>2270</v>
      </c>
      <c r="K67" s="5" t="s">
        <v>4800</v>
      </c>
      <c r="L67" s="5" t="s">
        <v>4801</v>
      </c>
      <c r="M67" s="5" t="s">
        <v>1267</v>
      </c>
    </row>
    <row r="68" spans="1:13" ht="57" customHeight="1" x14ac:dyDescent="0.2">
      <c r="A68" s="5" t="s">
        <v>4391</v>
      </c>
      <c r="B68" s="5" t="s">
        <v>4797</v>
      </c>
      <c r="C68" s="5" t="s">
        <v>4394</v>
      </c>
      <c r="D68" s="5" t="s">
        <v>4392</v>
      </c>
      <c r="E68" s="5" t="s">
        <v>885</v>
      </c>
      <c r="F68" s="5" t="s">
        <v>4802</v>
      </c>
      <c r="G68" s="5"/>
      <c r="H68" s="5" t="s">
        <v>4803</v>
      </c>
      <c r="I68" s="5" t="s">
        <v>4804</v>
      </c>
      <c r="J68" s="8">
        <v>1742</v>
      </c>
      <c r="K68" s="5" t="s">
        <v>4800</v>
      </c>
      <c r="L68" s="5" t="s">
        <v>4801</v>
      </c>
      <c r="M68" s="5" t="s">
        <v>1267</v>
      </c>
    </row>
  </sheetData>
  <dataValidations count="4">
    <dataValidation type="list" sqref="D7:D1200" xr:uid="{00000000-0002-0000-0C00-000000000000}">
      <formula1>og_list_8</formula1>
    </dataValidation>
    <dataValidation type="list" sqref="E7:E1200" xr:uid="{00000000-0002-0000-0C00-000001000000}">
      <formula1>"SOURCE,ASSET,FIGURE,DOCUMENT,RENDER,DATA,CODE,PACKAGE"</formula1>
    </dataValidation>
    <dataValidation type="whole" sqref="J7:J1200" xr:uid="{00000000-0002-0000-0C00-000002000000}">
      <formula1>0</formula1>
      <formula2>1000000</formula2>
    </dataValidation>
    <dataValidation type="list" sqref="M7:M1200" xr:uid="{00000000-0002-0000-0C00-000003000000}">
      <formula1>"EXTERNAL,AVAILABLE,PLANNED,MISSING"</formula1>
    </dataValidation>
  </dataValidations>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67E8F9"/>
  </sheetPr>
  <dimension ref="A1:K21"/>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8" width="34.03125" customWidth="1"/>
    <col min="9" max="11" width="48.0234375" customWidth="1"/>
  </cols>
  <sheetData>
    <row r="1" spans="1:11" ht="21.75" x14ac:dyDescent="0.25">
      <c r="A1" s="3" t="s">
        <v>4805</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1269</v>
      </c>
      <c r="B3" s="2"/>
      <c r="C3" s="2"/>
      <c r="D3" s="2"/>
      <c r="E3" s="2"/>
      <c r="F3" s="2"/>
      <c r="G3" s="2"/>
      <c r="H3" s="2"/>
      <c r="I3" s="2"/>
      <c r="J3" s="2"/>
      <c r="K3" s="2"/>
    </row>
    <row r="4" spans="1:11" ht="16.5" x14ac:dyDescent="0.2">
      <c r="A4" s="4" t="str">
        <f>HYPERLINK("#'Field Dictionary'!A130","🖼️📦 - 1 - SHORT TEXT")</f>
        <v>🖼️📦 - 1 - SHORT TEXT</v>
      </c>
      <c r="B4" s="4" t="str">
        <f>HYPERLINK("#'Field Dictionary'!A131","🖼️📦 - 2 - LONG TEXT")</f>
        <v>🖼️📦 - 2 - LONG TEXT</v>
      </c>
      <c r="C4" s="4" t="str">
        <f>HYPERLINK("#'Field Dictionary'!A132","🖼️📦 - 3 - SHORT TEXT")</f>
        <v>🖼️📦 - 3 - SHORT TEXT</v>
      </c>
      <c r="D4" s="4" t="str">
        <f>HYPERLINK("#'Field Dictionary'!A133","🖼️📦 - 4 - LINKED RECORD")</f>
        <v>🖼️📦 - 4 - LINKED RECORD</v>
      </c>
      <c r="E4" s="4" t="str">
        <f>HYPERLINK("#'Field Dictionary'!A134","🖼️📦 - 5 - LINKED RECORD")</f>
        <v>🖼️📦 - 5 - LINKED RECORD</v>
      </c>
      <c r="F4" s="4" t="str">
        <f>HYPERLINK("#'Field Dictionary'!A135","🖼️📦 - 6 - LINKED RECORD")</f>
        <v>🖼️📦 - 6 - LINKED RECORD</v>
      </c>
      <c r="G4" s="4" t="str">
        <f>HYPERLINK("#'Field Dictionary'!A136","🖼️📦 - 7 - LINKED RECORDS")</f>
        <v>🖼️📦 - 7 - LINKED RECORDS</v>
      </c>
      <c r="H4" s="4" t="str">
        <f>HYPERLINK("#'Field Dictionary'!A137","🖼️📦 - 8 - LINKED RECORDS")</f>
        <v>🖼️📦 - 8 - LINKED RECORDS</v>
      </c>
      <c r="I4" s="4" t="str">
        <f>HYPERLINK("#'Field Dictionary'!A138","🖼️📦 - 9 - LONG TEXT")</f>
        <v>🖼️📦 - 9 - LONG TEXT</v>
      </c>
      <c r="J4" s="4" t="str">
        <f>HYPERLINK("#'Field Dictionary'!A139","🖼️📦 - 10 - LONG TEXT")</f>
        <v>🖼️📦 - 10 - LONG TEXT</v>
      </c>
      <c r="K4" s="4" t="str">
        <f>HYPERLINK("#'Field Dictionary'!A140","🖼️📦 - 11 - LONG TEXT")</f>
        <v>🖼️📦 - 11 - LONG TEXT</v>
      </c>
    </row>
    <row r="5" spans="1:11" ht="38.1" customHeight="1" x14ac:dyDescent="0.2">
      <c r="A5" s="7" t="s">
        <v>100</v>
      </c>
      <c r="B5" s="7" t="s">
        <v>101</v>
      </c>
      <c r="C5" s="7" t="s">
        <v>102</v>
      </c>
      <c r="D5" s="7" t="s">
        <v>158</v>
      </c>
      <c r="E5" s="7" t="s">
        <v>4806</v>
      </c>
      <c r="F5" s="7" t="s">
        <v>4807</v>
      </c>
      <c r="G5" s="7" t="s">
        <v>4808</v>
      </c>
      <c r="H5" s="7" t="s">
        <v>4809</v>
      </c>
      <c r="I5" s="7" t="s">
        <v>4810</v>
      </c>
      <c r="J5" s="7" t="s">
        <v>4811</v>
      </c>
      <c r="K5" s="7" t="s">
        <v>4812</v>
      </c>
    </row>
    <row r="6" spans="1:11" ht="38.1" customHeight="1" x14ac:dyDescent="0.2">
      <c r="A6" s="7" t="s">
        <v>115</v>
      </c>
      <c r="B6" s="7" t="s">
        <v>116</v>
      </c>
      <c r="C6" s="7" t="s">
        <v>117</v>
      </c>
      <c r="D6" s="7" t="s">
        <v>167</v>
      </c>
      <c r="E6" s="7" t="s">
        <v>4813</v>
      </c>
      <c r="F6" s="7" t="s">
        <v>4814</v>
      </c>
      <c r="G6" s="7" t="s">
        <v>4815</v>
      </c>
      <c r="H6" s="7" t="s">
        <v>4816</v>
      </c>
      <c r="I6" s="7" t="s">
        <v>4817</v>
      </c>
      <c r="J6" s="7" t="s">
        <v>4818</v>
      </c>
      <c r="K6" s="7" t="s">
        <v>4819</v>
      </c>
    </row>
    <row r="7" spans="1:11" ht="102" customHeight="1" x14ac:dyDescent="0.2">
      <c r="A7" s="5" t="s">
        <v>3598</v>
      </c>
      <c r="B7" s="5" t="s">
        <v>3599</v>
      </c>
      <c r="C7" s="5" t="s">
        <v>43</v>
      </c>
      <c r="D7" s="5" t="s">
        <v>3600</v>
      </c>
      <c r="E7" s="5" t="s">
        <v>3579</v>
      </c>
      <c r="F7" s="5" t="s">
        <v>3592</v>
      </c>
      <c r="G7" s="5" t="s">
        <v>4820</v>
      </c>
      <c r="H7" s="5" t="s">
        <v>4821</v>
      </c>
      <c r="I7" s="5" t="s">
        <v>4440</v>
      </c>
      <c r="J7" s="5" t="s">
        <v>4440</v>
      </c>
      <c r="K7" s="5" t="s">
        <v>4822</v>
      </c>
    </row>
    <row r="8" spans="1:11" ht="117" customHeight="1" x14ac:dyDescent="0.2">
      <c r="A8" s="5" t="s">
        <v>3631</v>
      </c>
      <c r="B8" s="5" t="s">
        <v>3599</v>
      </c>
      <c r="C8" s="5" t="s">
        <v>3634</v>
      </c>
      <c r="D8" s="5" t="s">
        <v>3632</v>
      </c>
      <c r="E8" s="5" t="s">
        <v>3614</v>
      </c>
      <c r="F8" s="5" t="s">
        <v>3626</v>
      </c>
      <c r="G8" s="5" t="s">
        <v>4823</v>
      </c>
      <c r="H8" s="5" t="s">
        <v>4824</v>
      </c>
      <c r="I8" s="5" t="s">
        <v>4443</v>
      </c>
      <c r="J8" s="5" t="s">
        <v>4443</v>
      </c>
      <c r="K8" s="5" t="s">
        <v>4825</v>
      </c>
    </row>
    <row r="9" spans="1:11" ht="102" customHeight="1" x14ac:dyDescent="0.2">
      <c r="A9" s="5" t="s">
        <v>3663</v>
      </c>
      <c r="B9" s="5" t="s">
        <v>3599</v>
      </c>
      <c r="C9" s="5" t="s">
        <v>3666</v>
      </c>
      <c r="D9" s="5" t="s">
        <v>3664</v>
      </c>
      <c r="E9" s="5" t="s">
        <v>3646</v>
      </c>
      <c r="F9" s="5" t="s">
        <v>3658</v>
      </c>
      <c r="G9" s="5" t="s">
        <v>4826</v>
      </c>
      <c r="H9" s="5" t="s">
        <v>4827</v>
      </c>
      <c r="I9" s="5" t="s">
        <v>4444</v>
      </c>
      <c r="J9" s="5" t="s">
        <v>4444</v>
      </c>
      <c r="K9" s="5" t="s">
        <v>4822</v>
      </c>
    </row>
    <row r="10" spans="1:11" ht="87" customHeight="1" x14ac:dyDescent="0.2">
      <c r="A10" s="5" t="s">
        <v>3695</v>
      </c>
      <c r="B10" s="5" t="s">
        <v>3599</v>
      </c>
      <c r="C10" s="5" t="s">
        <v>3698</v>
      </c>
      <c r="D10" s="5" t="s">
        <v>3696</v>
      </c>
      <c r="E10" s="5" t="s">
        <v>3678</v>
      </c>
      <c r="F10" s="5" t="s">
        <v>3690</v>
      </c>
      <c r="G10" s="5" t="s">
        <v>4828</v>
      </c>
      <c r="H10" s="5" t="s">
        <v>4829</v>
      </c>
      <c r="I10" s="5" t="s">
        <v>4445</v>
      </c>
      <c r="J10" s="5" t="s">
        <v>4445</v>
      </c>
      <c r="K10" s="5" t="s">
        <v>4830</v>
      </c>
    </row>
    <row r="11" spans="1:11" ht="102" customHeight="1" x14ac:dyDescent="0.2">
      <c r="A11" s="5" t="s">
        <v>3727</v>
      </c>
      <c r="B11" s="5" t="s">
        <v>3599</v>
      </c>
      <c r="C11" s="5" t="s">
        <v>3730</v>
      </c>
      <c r="D11" s="5" t="s">
        <v>3728</v>
      </c>
      <c r="E11" s="5" t="s">
        <v>3710</v>
      </c>
      <c r="F11" s="5" t="s">
        <v>3722</v>
      </c>
      <c r="G11" s="5" t="s">
        <v>4831</v>
      </c>
      <c r="H11" s="5" t="s">
        <v>4832</v>
      </c>
      <c r="I11" s="5" t="s">
        <v>4446</v>
      </c>
      <c r="J11" s="5" t="s">
        <v>4446</v>
      </c>
      <c r="K11" s="5" t="s">
        <v>4830</v>
      </c>
    </row>
    <row r="12" spans="1:11" ht="102" customHeight="1" x14ac:dyDescent="0.2">
      <c r="A12" s="5" t="s">
        <v>3759</v>
      </c>
      <c r="B12" s="5" t="s">
        <v>3599</v>
      </c>
      <c r="C12" s="5" t="s">
        <v>3762</v>
      </c>
      <c r="D12" s="5" t="s">
        <v>3760</v>
      </c>
      <c r="E12" s="5" t="s">
        <v>3742</v>
      </c>
      <c r="F12" s="5" t="s">
        <v>3754</v>
      </c>
      <c r="G12" s="5" t="s">
        <v>4833</v>
      </c>
      <c r="H12" s="5" t="s">
        <v>4834</v>
      </c>
      <c r="I12" s="5" t="s">
        <v>4447</v>
      </c>
      <c r="J12" s="5" t="s">
        <v>4447</v>
      </c>
      <c r="K12" s="5" t="s">
        <v>4835</v>
      </c>
    </row>
    <row r="13" spans="1:11" ht="102" customHeight="1" x14ac:dyDescent="0.2">
      <c r="A13" s="5" t="s">
        <v>3791</v>
      </c>
      <c r="B13" s="5" t="s">
        <v>3599</v>
      </c>
      <c r="C13" s="5" t="s">
        <v>3794</v>
      </c>
      <c r="D13" s="5" t="s">
        <v>3792</v>
      </c>
      <c r="E13" s="5" t="s">
        <v>3774</v>
      </c>
      <c r="F13" s="5" t="s">
        <v>3786</v>
      </c>
      <c r="G13" s="5" t="s">
        <v>4836</v>
      </c>
      <c r="H13" s="5" t="s">
        <v>4837</v>
      </c>
      <c r="I13" s="5" t="s">
        <v>4448</v>
      </c>
      <c r="J13" s="5" t="s">
        <v>4448</v>
      </c>
      <c r="K13" s="5" t="s">
        <v>4835</v>
      </c>
    </row>
    <row r="14" spans="1:11" ht="117" customHeight="1" x14ac:dyDescent="0.2">
      <c r="A14" s="5" t="s">
        <v>3823</v>
      </c>
      <c r="B14" s="5" t="s">
        <v>3599</v>
      </c>
      <c r="C14" s="5" t="s">
        <v>3826</v>
      </c>
      <c r="D14" s="5" t="s">
        <v>3824</v>
      </c>
      <c r="E14" s="5" t="s">
        <v>3806</v>
      </c>
      <c r="F14" s="5" t="s">
        <v>3818</v>
      </c>
      <c r="G14" s="5" t="s">
        <v>4838</v>
      </c>
      <c r="H14" s="5" t="s">
        <v>4839</v>
      </c>
      <c r="I14" s="5" t="s">
        <v>4449</v>
      </c>
      <c r="J14" s="5" t="s">
        <v>4449</v>
      </c>
      <c r="K14" s="5" t="s">
        <v>4840</v>
      </c>
    </row>
    <row r="15" spans="1:11" ht="87" customHeight="1" x14ac:dyDescent="0.2">
      <c r="A15" s="5" t="s">
        <v>4017</v>
      </c>
      <c r="B15" s="5" t="s">
        <v>4841</v>
      </c>
      <c r="C15" s="5" t="s">
        <v>4127</v>
      </c>
      <c r="D15" s="5" t="s">
        <v>4125</v>
      </c>
      <c r="E15" s="5" t="s">
        <v>4020</v>
      </c>
      <c r="F15" s="5" t="s">
        <v>4120</v>
      </c>
      <c r="G15" s="5" t="s">
        <v>4842</v>
      </c>
      <c r="H15" s="5" t="s">
        <v>4843</v>
      </c>
      <c r="I15" s="5" t="s">
        <v>4844</v>
      </c>
      <c r="J15" s="5" t="s">
        <v>4845</v>
      </c>
      <c r="K15" s="5" t="s">
        <v>4846</v>
      </c>
    </row>
    <row r="16" spans="1:11" ht="87" customHeight="1" x14ac:dyDescent="0.2">
      <c r="A16" s="5" t="s">
        <v>4033</v>
      </c>
      <c r="B16" s="5" t="s">
        <v>4841</v>
      </c>
      <c r="C16" s="5" t="s">
        <v>4146</v>
      </c>
      <c r="D16" s="5" t="s">
        <v>4144</v>
      </c>
      <c r="E16" s="5" t="s">
        <v>4036</v>
      </c>
      <c r="F16" s="5" t="s">
        <v>4139</v>
      </c>
      <c r="G16" s="5" t="s">
        <v>4847</v>
      </c>
      <c r="H16" s="5" t="s">
        <v>4848</v>
      </c>
      <c r="I16" s="5" t="s">
        <v>4849</v>
      </c>
      <c r="J16" s="5" t="s">
        <v>4850</v>
      </c>
      <c r="K16" s="5" t="s">
        <v>4846</v>
      </c>
    </row>
    <row r="17" spans="1:11" ht="102" customHeight="1" x14ac:dyDescent="0.2">
      <c r="A17" s="5" t="s">
        <v>4025</v>
      </c>
      <c r="B17" s="5" t="s">
        <v>4851</v>
      </c>
      <c r="C17" s="5" t="s">
        <v>4167</v>
      </c>
      <c r="D17" s="5" t="s">
        <v>4165</v>
      </c>
      <c r="E17" s="5" t="s">
        <v>4028</v>
      </c>
      <c r="F17" s="5" t="s">
        <v>4160</v>
      </c>
      <c r="G17" s="5" t="s">
        <v>4852</v>
      </c>
      <c r="H17" s="5" t="s">
        <v>4853</v>
      </c>
      <c r="I17" s="5" t="s">
        <v>4854</v>
      </c>
      <c r="J17" s="5" t="s">
        <v>4855</v>
      </c>
      <c r="K17" s="5" t="s">
        <v>4856</v>
      </c>
    </row>
    <row r="18" spans="1:11" ht="117" customHeight="1" x14ac:dyDescent="0.2">
      <c r="A18" s="5" t="s">
        <v>4041</v>
      </c>
      <c r="B18" s="5" t="s">
        <v>4857</v>
      </c>
      <c r="C18" s="5" t="s">
        <v>4188</v>
      </c>
      <c r="D18" s="5" t="s">
        <v>4186</v>
      </c>
      <c r="E18" s="5" t="s">
        <v>4044</v>
      </c>
      <c r="F18" s="5" t="s">
        <v>4181</v>
      </c>
      <c r="G18" s="5" t="s">
        <v>4858</v>
      </c>
      <c r="H18" s="5" t="s">
        <v>4859</v>
      </c>
      <c r="I18" s="5" t="s">
        <v>4860</v>
      </c>
      <c r="J18" s="5" t="s">
        <v>4861</v>
      </c>
      <c r="K18" s="5" t="s">
        <v>4862</v>
      </c>
    </row>
    <row r="19" spans="1:11" ht="102" customHeight="1" x14ac:dyDescent="0.2">
      <c r="A19" s="5" t="s">
        <v>4049</v>
      </c>
      <c r="B19" s="5" t="s">
        <v>4863</v>
      </c>
      <c r="C19" s="5" t="s">
        <v>4209</v>
      </c>
      <c r="D19" s="5" t="s">
        <v>4207</v>
      </c>
      <c r="E19" s="5" t="s">
        <v>4052</v>
      </c>
      <c r="F19" s="5" t="s">
        <v>4202</v>
      </c>
      <c r="G19" s="5" t="s">
        <v>4864</v>
      </c>
      <c r="H19" s="5" t="s">
        <v>4865</v>
      </c>
      <c r="I19" s="5" t="s">
        <v>4866</v>
      </c>
      <c r="J19" s="5" t="s">
        <v>4867</v>
      </c>
      <c r="K19" s="5" t="s">
        <v>4868</v>
      </c>
    </row>
    <row r="20" spans="1:11" ht="102" customHeight="1" x14ac:dyDescent="0.2">
      <c r="A20" s="5" t="s">
        <v>4057</v>
      </c>
      <c r="B20" s="5" t="s">
        <v>4869</v>
      </c>
      <c r="C20" s="5" t="s">
        <v>4230</v>
      </c>
      <c r="D20" s="5" t="s">
        <v>4228</v>
      </c>
      <c r="E20" s="5" t="s">
        <v>4060</v>
      </c>
      <c r="F20" s="5" t="s">
        <v>4223</v>
      </c>
      <c r="G20" s="5" t="s">
        <v>4870</v>
      </c>
      <c r="H20" s="5" t="s">
        <v>4871</v>
      </c>
      <c r="I20" s="5" t="s">
        <v>4872</v>
      </c>
      <c r="J20" s="5" t="s">
        <v>4873</v>
      </c>
      <c r="K20" s="5" t="s">
        <v>4874</v>
      </c>
    </row>
    <row r="21" spans="1:11" ht="102" customHeight="1" x14ac:dyDescent="0.2">
      <c r="A21" s="5" t="s">
        <v>4065</v>
      </c>
      <c r="B21" s="5" t="s">
        <v>4869</v>
      </c>
      <c r="C21" s="5" t="s">
        <v>4249</v>
      </c>
      <c r="D21" s="5" t="s">
        <v>4247</v>
      </c>
      <c r="E21" s="5" t="s">
        <v>4068</v>
      </c>
      <c r="F21" s="5" t="s">
        <v>4242</v>
      </c>
      <c r="G21" s="5" t="s">
        <v>4875</v>
      </c>
      <c r="H21" s="5" t="s">
        <v>4876</v>
      </c>
      <c r="I21" s="5" t="s">
        <v>4877</v>
      </c>
      <c r="J21" s="5" t="s">
        <v>4878</v>
      </c>
      <c r="K21" s="5" t="s">
        <v>4874</v>
      </c>
    </row>
  </sheetData>
  <dataValidations count="3">
    <dataValidation type="list" sqref="D7:D1200" xr:uid="{00000000-0002-0000-0D00-000000000000}">
      <formula1>og_list_8</formula1>
    </dataValidation>
    <dataValidation type="list" sqref="E7:E1200" xr:uid="{00000000-0002-0000-0D00-000001000000}">
      <formula1>og_list_14</formula1>
    </dataValidation>
    <dataValidation type="list" sqref="F7:F1200" xr:uid="{00000000-0002-0000-0D00-000002000000}">
      <formula1>og_list_4</formula1>
    </dataValidation>
  </dataValidations>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67E8F9"/>
  </sheetPr>
  <dimension ref="A1:O45"/>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6" width="18.0234375" customWidth="1"/>
    <col min="7" max="10" width="29.0546875" customWidth="1"/>
    <col min="11" max="11" width="48.0234375" customWidth="1"/>
    <col min="12" max="15" width="29.0546875" customWidth="1"/>
  </cols>
  <sheetData>
    <row r="1" spans="1:15" ht="40.5" x14ac:dyDescent="0.25">
      <c r="A1" s="3" t="s">
        <v>4879</v>
      </c>
      <c r="B1" s="2"/>
      <c r="C1" s="2"/>
      <c r="D1" s="2"/>
      <c r="E1" s="2"/>
      <c r="F1" s="2"/>
      <c r="G1" s="2"/>
      <c r="H1" s="2"/>
      <c r="I1" s="2"/>
      <c r="J1" s="2"/>
      <c r="K1" s="2"/>
      <c r="L1" s="2"/>
      <c r="M1" s="2"/>
      <c r="N1" s="2"/>
      <c r="O1" s="2"/>
    </row>
    <row r="2" spans="1:15" x14ac:dyDescent="0.2">
      <c r="A2" s="2" t="str">
        <f>HYPERLINK("#'Home'!A1","Home")</f>
        <v>Home</v>
      </c>
      <c r="B2" s="2" t="str">
        <f>HYPERLINK("#'Reader'!A1","Read a record")</f>
        <v>Read a record</v>
      </c>
      <c r="C2" s="2"/>
      <c r="D2" s="2"/>
      <c r="E2" s="2"/>
      <c r="F2" s="2"/>
      <c r="G2" s="2"/>
      <c r="H2" s="2"/>
      <c r="I2" s="2"/>
      <c r="J2" s="2"/>
      <c r="K2" s="2"/>
      <c r="L2" s="2"/>
      <c r="M2" s="2"/>
      <c r="N2" s="2"/>
      <c r="O2" s="2"/>
    </row>
    <row r="3" spans="1:15" ht="45.95" customHeight="1" x14ac:dyDescent="0.2">
      <c r="A3" s="2" t="s">
        <v>1347</v>
      </c>
      <c r="B3" s="2"/>
      <c r="C3" s="2"/>
      <c r="D3" s="2"/>
      <c r="E3" s="2"/>
      <c r="F3" s="2"/>
      <c r="G3" s="2"/>
      <c r="H3" s="2"/>
      <c r="I3" s="2"/>
      <c r="J3" s="2"/>
      <c r="K3" s="2"/>
      <c r="L3" s="2"/>
      <c r="M3" s="2"/>
      <c r="N3" s="2"/>
      <c r="O3" s="2"/>
    </row>
    <row r="4" spans="1:15" ht="16.5" x14ac:dyDescent="0.2">
      <c r="A4" s="4" t="str">
        <f>HYPERLINK("#'Field Dictionary'!A141","📄📐 - 1 - SHORT TEXT")</f>
        <v>📄📐 - 1 - SHORT TEXT</v>
      </c>
      <c r="B4" s="4" t="str">
        <f>HYPERLINK("#'Field Dictionary'!A142","📄📐 - 2 - LONG TEXT")</f>
        <v>📄📐 - 2 - LONG TEXT</v>
      </c>
      <c r="C4" s="4" t="str">
        <f>HYPERLINK("#'Field Dictionary'!A143","📄📐 - 3 - SHORT TEXT")</f>
        <v>📄📐 - 3 - SHORT TEXT</v>
      </c>
      <c r="D4" s="4" t="str">
        <f>HYPERLINK("#'Field Dictionary'!A144","📄📐 - 4 - LINKED RECORD")</f>
        <v>📄📐 - 4 - LINKED RECORD</v>
      </c>
      <c r="E4" s="4" t="str">
        <f>HYPERLINK("#'Field Dictionary'!A145","📄📐 - 5 - LINKED RECORD")</f>
        <v>📄📐 - 5 - LINKED RECORD</v>
      </c>
      <c r="F4" s="4" t="str">
        <f>HYPERLINK("#'Field Dictionary'!A146","📄📐 - 6 - INTEGER")</f>
        <v>📄📐 - 6 - INTEGER</v>
      </c>
      <c r="G4" s="4" t="str">
        <f>HYPERLINK("#'Field Dictionary'!A147","📄📐 - 7 - SINGLE SELECT")</f>
        <v>📄📐 - 7 - SINGLE SELECT</v>
      </c>
      <c r="H4" s="4" t="str">
        <f>HYPERLINK("#'Field Dictionary'!A148","📄📐 - 8 - LINKED RECORD")</f>
        <v>📄📐 - 8 - LINKED RECORD</v>
      </c>
      <c r="I4" s="4" t="str">
        <f>HYPERLINK("#'Field Dictionary'!A149","📄📐 - 9 - LINKED RECORD")</f>
        <v>📄📐 - 9 - LINKED RECORD</v>
      </c>
      <c r="J4" s="4" t="str">
        <f>HYPERLINK("#'Field Dictionary'!A150","📄📐 - 10 - SHORT TEXT")</f>
        <v>📄📐 - 10 - SHORT TEXT</v>
      </c>
      <c r="K4" s="4" t="str">
        <f>HYPERLINK("#'Field Dictionary'!A151","📄📐 - 11 - LONG TEXT")</f>
        <v>📄📐 - 11 - LONG TEXT</v>
      </c>
      <c r="L4" s="4" t="str">
        <f>HYPERLINK("#'Field Dictionary'!A152","📄📐 - 12 - SHORT TEXT")</f>
        <v>📄📐 - 12 - SHORT TEXT</v>
      </c>
      <c r="M4" s="4" t="str">
        <f>HYPERLINK("#'Field Dictionary'!A153","📄📐 - 13 - LINKED RECORD")</f>
        <v>📄📐 - 13 - LINKED RECORD</v>
      </c>
      <c r="N4" s="4" t="str">
        <f>HYPERLINK("#'Field Dictionary'!A154","📄📐 - 14 - SINGLE SELECT")</f>
        <v>📄📐 - 14 - SINGLE SELECT</v>
      </c>
      <c r="O4" s="4" t="str">
        <f>HYPERLINK("#'Field Dictionary'!A155","📄📐 - 15 - LINKED RECORD")</f>
        <v>📄📐 - 15 - LINKED RECORD</v>
      </c>
    </row>
    <row r="5" spans="1:15" ht="38.1" customHeight="1" x14ac:dyDescent="0.2">
      <c r="A5" s="7" t="s">
        <v>100</v>
      </c>
      <c r="B5" s="7" t="s">
        <v>101</v>
      </c>
      <c r="C5" s="7" t="s">
        <v>102</v>
      </c>
      <c r="D5" s="7" t="s">
        <v>158</v>
      </c>
      <c r="E5" s="7" t="s">
        <v>4880</v>
      </c>
      <c r="F5" s="7" t="s">
        <v>4881</v>
      </c>
      <c r="G5" s="7" t="s">
        <v>4882</v>
      </c>
      <c r="H5" s="7" t="s">
        <v>4883</v>
      </c>
      <c r="I5" s="7" t="s">
        <v>4884</v>
      </c>
      <c r="J5" s="7" t="s">
        <v>4885</v>
      </c>
      <c r="K5" s="7" t="s">
        <v>4886</v>
      </c>
      <c r="L5" s="7" t="s">
        <v>4887</v>
      </c>
      <c r="M5" s="7" t="s">
        <v>4888</v>
      </c>
      <c r="N5" s="7" t="s">
        <v>4889</v>
      </c>
      <c r="O5" s="7" t="s">
        <v>4890</v>
      </c>
    </row>
    <row r="6" spans="1:15" ht="38.1" customHeight="1" x14ac:dyDescent="0.2">
      <c r="A6" s="7" t="s">
        <v>115</v>
      </c>
      <c r="B6" s="7" t="s">
        <v>116</v>
      </c>
      <c r="C6" s="7" t="s">
        <v>117</v>
      </c>
      <c r="D6" s="7" t="s">
        <v>167</v>
      </c>
      <c r="E6" s="7" t="s">
        <v>4891</v>
      </c>
      <c r="F6" s="7" t="s">
        <v>4892</v>
      </c>
      <c r="G6" s="7" t="s">
        <v>4893</v>
      </c>
      <c r="H6" s="7" t="s">
        <v>4894</v>
      </c>
      <c r="I6" s="7" t="s">
        <v>4895</v>
      </c>
      <c r="J6" s="7" t="s">
        <v>4896</v>
      </c>
      <c r="K6" s="7" t="s">
        <v>4897</v>
      </c>
      <c r="L6" s="7" t="s">
        <v>4898</v>
      </c>
      <c r="M6" s="7" t="s">
        <v>4899</v>
      </c>
      <c r="N6" s="7" t="s">
        <v>4900</v>
      </c>
      <c r="O6" s="7" t="s">
        <v>4901</v>
      </c>
    </row>
    <row r="7" spans="1:15" ht="57" customHeight="1" x14ac:dyDescent="0.2">
      <c r="A7" s="5" t="s">
        <v>3602</v>
      </c>
      <c r="B7" s="5" t="s">
        <v>3603</v>
      </c>
      <c r="C7" s="5" t="s">
        <v>3606</v>
      </c>
      <c r="D7" s="5" t="s">
        <v>3604</v>
      </c>
      <c r="E7" s="5" t="s">
        <v>145</v>
      </c>
      <c r="F7" s="8">
        <v>1</v>
      </c>
      <c r="G7" s="5" t="s">
        <v>4650</v>
      </c>
      <c r="H7" s="5"/>
      <c r="I7" s="5" t="s">
        <v>43</v>
      </c>
      <c r="J7" s="5" t="s">
        <v>4493</v>
      </c>
      <c r="K7" s="5" t="s">
        <v>4902</v>
      </c>
      <c r="L7" s="5"/>
      <c r="M7" s="5" t="s">
        <v>3871</v>
      </c>
      <c r="N7" s="5" t="s">
        <v>4650</v>
      </c>
      <c r="O7" s="5" t="s">
        <v>3867</v>
      </c>
    </row>
    <row r="8" spans="1:15" ht="57" customHeight="1" x14ac:dyDescent="0.2">
      <c r="A8" s="5" t="s">
        <v>3635</v>
      </c>
      <c r="B8" s="5" t="s">
        <v>3603</v>
      </c>
      <c r="C8" s="5" t="s">
        <v>3638</v>
      </c>
      <c r="D8" s="5" t="s">
        <v>3636</v>
      </c>
      <c r="E8" s="5" t="s">
        <v>145</v>
      </c>
      <c r="F8" s="8">
        <v>2</v>
      </c>
      <c r="G8" s="5" t="s">
        <v>4650</v>
      </c>
      <c r="H8" s="5"/>
      <c r="I8" s="5" t="s">
        <v>3634</v>
      </c>
      <c r="J8" s="5" t="s">
        <v>4498</v>
      </c>
      <c r="K8" s="5" t="s">
        <v>4902</v>
      </c>
      <c r="L8" s="5"/>
      <c r="M8" s="5" t="s">
        <v>3871</v>
      </c>
      <c r="N8" s="5" t="s">
        <v>4650</v>
      </c>
      <c r="O8" s="5" t="s">
        <v>3867</v>
      </c>
    </row>
    <row r="9" spans="1:15" ht="57" customHeight="1" x14ac:dyDescent="0.2">
      <c r="A9" s="5" t="s">
        <v>3667</v>
      </c>
      <c r="B9" s="5" t="s">
        <v>3603</v>
      </c>
      <c r="C9" s="5" t="s">
        <v>3670</v>
      </c>
      <c r="D9" s="5" t="s">
        <v>3668</v>
      </c>
      <c r="E9" s="5" t="s">
        <v>145</v>
      </c>
      <c r="F9" s="8">
        <v>3</v>
      </c>
      <c r="G9" s="5" t="s">
        <v>4650</v>
      </c>
      <c r="H9" s="5"/>
      <c r="I9" s="5" t="s">
        <v>3666</v>
      </c>
      <c r="J9" s="5" t="s">
        <v>4500</v>
      </c>
      <c r="K9" s="5" t="s">
        <v>4902</v>
      </c>
      <c r="L9" s="5"/>
      <c r="M9" s="5" t="s">
        <v>3871</v>
      </c>
      <c r="N9" s="5" t="s">
        <v>4650</v>
      </c>
      <c r="O9" s="5" t="s">
        <v>3867</v>
      </c>
    </row>
    <row r="10" spans="1:15" ht="57" customHeight="1" x14ac:dyDescent="0.2">
      <c r="A10" s="5" t="s">
        <v>3699</v>
      </c>
      <c r="B10" s="5" t="s">
        <v>3603</v>
      </c>
      <c r="C10" s="5" t="s">
        <v>3702</v>
      </c>
      <c r="D10" s="5" t="s">
        <v>3700</v>
      </c>
      <c r="E10" s="5" t="s">
        <v>145</v>
      </c>
      <c r="F10" s="8">
        <v>4</v>
      </c>
      <c r="G10" s="5" t="s">
        <v>4650</v>
      </c>
      <c r="H10" s="5"/>
      <c r="I10" s="5" t="s">
        <v>3698</v>
      </c>
      <c r="J10" s="5" t="s">
        <v>4502</v>
      </c>
      <c r="K10" s="5" t="s">
        <v>4902</v>
      </c>
      <c r="L10" s="5"/>
      <c r="M10" s="5" t="s">
        <v>3871</v>
      </c>
      <c r="N10" s="5" t="s">
        <v>4650</v>
      </c>
      <c r="O10" s="5" t="s">
        <v>3867</v>
      </c>
    </row>
    <row r="11" spans="1:15" ht="57" customHeight="1" x14ac:dyDescent="0.2">
      <c r="A11" s="5" t="s">
        <v>3731</v>
      </c>
      <c r="B11" s="5" t="s">
        <v>3603</v>
      </c>
      <c r="C11" s="5" t="s">
        <v>3734</v>
      </c>
      <c r="D11" s="5" t="s">
        <v>3732</v>
      </c>
      <c r="E11" s="5" t="s">
        <v>145</v>
      </c>
      <c r="F11" s="8">
        <v>5</v>
      </c>
      <c r="G11" s="5" t="s">
        <v>4650</v>
      </c>
      <c r="H11" s="5"/>
      <c r="I11" s="5" t="s">
        <v>3730</v>
      </c>
      <c r="J11" s="5" t="s">
        <v>4504</v>
      </c>
      <c r="K11" s="5" t="s">
        <v>4902</v>
      </c>
      <c r="L11" s="5"/>
      <c r="M11" s="5" t="s">
        <v>3871</v>
      </c>
      <c r="N11" s="5" t="s">
        <v>4650</v>
      </c>
      <c r="O11" s="5" t="s">
        <v>3867</v>
      </c>
    </row>
    <row r="12" spans="1:15" ht="57" customHeight="1" x14ac:dyDescent="0.2">
      <c r="A12" s="5" t="s">
        <v>3763</v>
      </c>
      <c r="B12" s="5" t="s">
        <v>3603</v>
      </c>
      <c r="C12" s="5" t="s">
        <v>3766</v>
      </c>
      <c r="D12" s="5" t="s">
        <v>3764</v>
      </c>
      <c r="E12" s="5" t="s">
        <v>145</v>
      </c>
      <c r="F12" s="8">
        <v>6</v>
      </c>
      <c r="G12" s="5" t="s">
        <v>4650</v>
      </c>
      <c r="H12" s="5"/>
      <c r="I12" s="5" t="s">
        <v>3762</v>
      </c>
      <c r="J12" s="5" t="s">
        <v>4506</v>
      </c>
      <c r="K12" s="5" t="s">
        <v>4902</v>
      </c>
      <c r="L12" s="5"/>
      <c r="M12" s="5" t="s">
        <v>3871</v>
      </c>
      <c r="N12" s="5" t="s">
        <v>4650</v>
      </c>
      <c r="O12" s="5" t="s">
        <v>3867</v>
      </c>
    </row>
    <row r="13" spans="1:15" ht="57" customHeight="1" x14ac:dyDescent="0.2">
      <c r="A13" s="5" t="s">
        <v>3795</v>
      </c>
      <c r="B13" s="5" t="s">
        <v>3603</v>
      </c>
      <c r="C13" s="5" t="s">
        <v>3798</v>
      </c>
      <c r="D13" s="5" t="s">
        <v>3796</v>
      </c>
      <c r="E13" s="5" t="s">
        <v>145</v>
      </c>
      <c r="F13" s="8">
        <v>7</v>
      </c>
      <c r="G13" s="5" t="s">
        <v>4650</v>
      </c>
      <c r="H13" s="5"/>
      <c r="I13" s="5" t="s">
        <v>3794</v>
      </c>
      <c r="J13" s="5" t="s">
        <v>4508</v>
      </c>
      <c r="K13" s="5" t="s">
        <v>4902</v>
      </c>
      <c r="L13" s="5"/>
      <c r="M13" s="5" t="s">
        <v>3871</v>
      </c>
      <c r="N13" s="5" t="s">
        <v>4650</v>
      </c>
      <c r="O13" s="5" t="s">
        <v>3867</v>
      </c>
    </row>
    <row r="14" spans="1:15" ht="57" customHeight="1" x14ac:dyDescent="0.2">
      <c r="A14" s="5" t="s">
        <v>3827</v>
      </c>
      <c r="B14" s="5" t="s">
        <v>3603</v>
      </c>
      <c r="C14" s="5" t="s">
        <v>3830</v>
      </c>
      <c r="D14" s="5" t="s">
        <v>3828</v>
      </c>
      <c r="E14" s="5" t="s">
        <v>145</v>
      </c>
      <c r="F14" s="8">
        <v>8</v>
      </c>
      <c r="G14" s="5" t="s">
        <v>4650</v>
      </c>
      <c r="H14" s="5"/>
      <c r="I14" s="5" t="s">
        <v>3826</v>
      </c>
      <c r="J14" s="5" t="s">
        <v>4510</v>
      </c>
      <c r="K14" s="5" t="s">
        <v>4902</v>
      </c>
      <c r="L14" s="5"/>
      <c r="M14" s="5" t="s">
        <v>3871</v>
      </c>
      <c r="N14" s="5" t="s">
        <v>4650</v>
      </c>
      <c r="O14" s="5" t="s">
        <v>3867</v>
      </c>
    </row>
    <row r="15" spans="1:15" ht="57" customHeight="1" x14ac:dyDescent="0.2">
      <c r="A15" s="5" t="s">
        <v>3910</v>
      </c>
      <c r="B15" s="5" t="s">
        <v>264</v>
      </c>
      <c r="C15" s="5" t="s">
        <v>3916</v>
      </c>
      <c r="D15" s="5" t="s">
        <v>3914</v>
      </c>
      <c r="E15" s="5"/>
      <c r="F15" s="8">
        <v>100</v>
      </c>
      <c r="G15" s="5" t="s">
        <v>1391</v>
      </c>
      <c r="H15" s="5" t="s">
        <v>3913</v>
      </c>
      <c r="I15" s="5"/>
      <c r="J15" s="5" t="s">
        <v>4903</v>
      </c>
      <c r="K15" s="5" t="s">
        <v>4904</v>
      </c>
      <c r="L15" s="5"/>
      <c r="M15" s="5" t="s">
        <v>3909</v>
      </c>
      <c r="N15" s="5" t="s">
        <v>1446</v>
      </c>
      <c r="O15" s="5" t="s">
        <v>3859</v>
      </c>
    </row>
    <row r="16" spans="1:15" ht="57" customHeight="1" x14ac:dyDescent="0.2">
      <c r="A16" s="5" t="s">
        <v>3917</v>
      </c>
      <c r="B16" s="5" t="s">
        <v>264</v>
      </c>
      <c r="C16" s="5" t="s">
        <v>3923</v>
      </c>
      <c r="D16" s="5" t="s">
        <v>3921</v>
      </c>
      <c r="E16" s="5"/>
      <c r="F16" s="8">
        <v>200</v>
      </c>
      <c r="G16" s="5" t="s">
        <v>1391</v>
      </c>
      <c r="H16" s="5" t="s">
        <v>3920</v>
      </c>
      <c r="I16" s="5"/>
      <c r="J16" s="5" t="s">
        <v>4905</v>
      </c>
      <c r="K16" s="5" t="s">
        <v>4904</v>
      </c>
      <c r="L16" s="5"/>
      <c r="M16" s="5" t="s">
        <v>3909</v>
      </c>
      <c r="N16" s="5" t="s">
        <v>1446</v>
      </c>
      <c r="O16" s="5" t="s">
        <v>3859</v>
      </c>
    </row>
    <row r="17" spans="1:15" ht="57" customHeight="1" x14ac:dyDescent="0.2">
      <c r="A17" s="5" t="s">
        <v>3924</v>
      </c>
      <c r="B17" s="5" t="s">
        <v>264</v>
      </c>
      <c r="C17" s="5" t="s">
        <v>3930</v>
      </c>
      <c r="D17" s="5" t="s">
        <v>3928</v>
      </c>
      <c r="E17" s="5"/>
      <c r="F17" s="8">
        <v>300</v>
      </c>
      <c r="G17" s="5" t="s">
        <v>1391</v>
      </c>
      <c r="H17" s="5" t="s">
        <v>3927</v>
      </c>
      <c r="I17" s="5"/>
      <c r="J17" s="5" t="s">
        <v>4906</v>
      </c>
      <c r="K17" s="5" t="s">
        <v>4904</v>
      </c>
      <c r="L17" s="5"/>
      <c r="M17" s="5" t="s">
        <v>3909</v>
      </c>
      <c r="N17" s="5" t="s">
        <v>1446</v>
      </c>
      <c r="O17" s="5" t="s">
        <v>3859</v>
      </c>
    </row>
    <row r="18" spans="1:15" ht="57" customHeight="1" x14ac:dyDescent="0.2">
      <c r="A18" s="5" t="s">
        <v>3931</v>
      </c>
      <c r="B18" s="5" t="s">
        <v>264</v>
      </c>
      <c r="C18" s="5" t="s">
        <v>3937</v>
      </c>
      <c r="D18" s="5" t="s">
        <v>3935</v>
      </c>
      <c r="E18" s="5"/>
      <c r="F18" s="8">
        <v>400</v>
      </c>
      <c r="G18" s="5" t="s">
        <v>1391</v>
      </c>
      <c r="H18" s="5" t="s">
        <v>3934</v>
      </c>
      <c r="I18" s="5"/>
      <c r="J18" s="5" t="s">
        <v>4907</v>
      </c>
      <c r="K18" s="5" t="s">
        <v>4904</v>
      </c>
      <c r="L18" s="5"/>
      <c r="M18" s="5" t="s">
        <v>3909</v>
      </c>
      <c r="N18" s="5" t="s">
        <v>1446</v>
      </c>
      <c r="O18" s="5" t="s">
        <v>3859</v>
      </c>
    </row>
    <row r="19" spans="1:15" ht="57" customHeight="1" x14ac:dyDescent="0.2">
      <c r="A19" s="5" t="s">
        <v>3938</v>
      </c>
      <c r="B19" s="5" t="s">
        <v>264</v>
      </c>
      <c r="C19" s="5" t="s">
        <v>3944</v>
      </c>
      <c r="D19" s="5" t="s">
        <v>3942</v>
      </c>
      <c r="E19" s="5"/>
      <c r="F19" s="8">
        <v>500</v>
      </c>
      <c r="G19" s="5" t="s">
        <v>1391</v>
      </c>
      <c r="H19" s="5" t="s">
        <v>3941</v>
      </c>
      <c r="I19" s="5"/>
      <c r="J19" s="5" t="s">
        <v>4908</v>
      </c>
      <c r="K19" s="5" t="s">
        <v>4904</v>
      </c>
      <c r="L19" s="5"/>
      <c r="M19" s="5" t="s">
        <v>3909</v>
      </c>
      <c r="N19" s="5" t="s">
        <v>1446</v>
      </c>
      <c r="O19" s="5" t="s">
        <v>3859</v>
      </c>
    </row>
    <row r="20" spans="1:15" ht="57" customHeight="1" x14ac:dyDescent="0.2">
      <c r="A20" s="5" t="s">
        <v>3945</v>
      </c>
      <c r="B20" s="5" t="s">
        <v>264</v>
      </c>
      <c r="C20" s="5" t="s">
        <v>3951</v>
      </c>
      <c r="D20" s="5" t="s">
        <v>3949</v>
      </c>
      <c r="E20" s="5"/>
      <c r="F20" s="8">
        <v>600</v>
      </c>
      <c r="G20" s="5" t="s">
        <v>1391</v>
      </c>
      <c r="H20" s="5" t="s">
        <v>3948</v>
      </c>
      <c r="I20" s="5"/>
      <c r="J20" s="5" t="s">
        <v>4909</v>
      </c>
      <c r="K20" s="5" t="s">
        <v>4904</v>
      </c>
      <c r="L20" s="5"/>
      <c r="M20" s="5" t="s">
        <v>3909</v>
      </c>
      <c r="N20" s="5" t="s">
        <v>1446</v>
      </c>
      <c r="O20" s="5" t="s">
        <v>3859</v>
      </c>
    </row>
    <row r="21" spans="1:15" ht="57" customHeight="1" x14ac:dyDescent="0.2">
      <c r="A21" s="5" t="s">
        <v>3952</v>
      </c>
      <c r="B21" s="5" t="s">
        <v>264</v>
      </c>
      <c r="C21" s="5" t="s">
        <v>3958</v>
      </c>
      <c r="D21" s="5" t="s">
        <v>3956</v>
      </c>
      <c r="E21" s="5"/>
      <c r="F21" s="8">
        <v>700</v>
      </c>
      <c r="G21" s="5" t="s">
        <v>1391</v>
      </c>
      <c r="H21" s="5" t="s">
        <v>3955</v>
      </c>
      <c r="I21" s="5"/>
      <c r="J21" s="5" t="s">
        <v>4910</v>
      </c>
      <c r="K21" s="5" t="s">
        <v>4904</v>
      </c>
      <c r="L21" s="5"/>
      <c r="M21" s="5" t="s">
        <v>3909</v>
      </c>
      <c r="N21" s="5" t="s">
        <v>1446</v>
      </c>
      <c r="O21" s="5" t="s">
        <v>3859</v>
      </c>
    </row>
    <row r="22" spans="1:15" ht="57" customHeight="1" x14ac:dyDescent="0.2">
      <c r="A22" s="5" t="s">
        <v>3959</v>
      </c>
      <c r="B22" s="5" t="s">
        <v>264</v>
      </c>
      <c r="C22" s="5" t="s">
        <v>3965</v>
      </c>
      <c r="D22" s="5" t="s">
        <v>3963</v>
      </c>
      <c r="E22" s="5"/>
      <c r="F22" s="8">
        <v>800</v>
      </c>
      <c r="G22" s="5" t="s">
        <v>1391</v>
      </c>
      <c r="H22" s="5" t="s">
        <v>3962</v>
      </c>
      <c r="I22" s="5"/>
      <c r="J22" s="5" t="s">
        <v>4911</v>
      </c>
      <c r="K22" s="5" t="s">
        <v>4904</v>
      </c>
      <c r="L22" s="5"/>
      <c r="M22" s="5" t="s">
        <v>3909</v>
      </c>
      <c r="N22" s="5" t="s">
        <v>1446</v>
      </c>
      <c r="O22" s="5" t="s">
        <v>3859</v>
      </c>
    </row>
    <row r="23" spans="1:15" ht="57" customHeight="1" x14ac:dyDescent="0.2">
      <c r="A23" s="5" t="s">
        <v>3966</v>
      </c>
      <c r="B23" s="5" t="s">
        <v>264</v>
      </c>
      <c r="C23" s="5" t="s">
        <v>3972</v>
      </c>
      <c r="D23" s="5" t="s">
        <v>3970</v>
      </c>
      <c r="E23" s="5"/>
      <c r="F23" s="8">
        <v>900</v>
      </c>
      <c r="G23" s="5" t="s">
        <v>1391</v>
      </c>
      <c r="H23" s="5" t="s">
        <v>3969</v>
      </c>
      <c r="I23" s="5"/>
      <c r="J23" s="5" t="s">
        <v>4912</v>
      </c>
      <c r="K23" s="5" t="s">
        <v>4904</v>
      </c>
      <c r="L23" s="5"/>
      <c r="M23" s="5" t="s">
        <v>3909</v>
      </c>
      <c r="N23" s="5" t="s">
        <v>1446</v>
      </c>
      <c r="O23" s="5" t="s">
        <v>3859</v>
      </c>
    </row>
    <row r="24" spans="1:15" ht="57" customHeight="1" x14ac:dyDescent="0.2">
      <c r="A24" s="5" t="s">
        <v>3973</v>
      </c>
      <c r="B24" s="5" t="s">
        <v>264</v>
      </c>
      <c r="C24" s="5" t="s">
        <v>3979</v>
      </c>
      <c r="D24" s="5" t="s">
        <v>3977</v>
      </c>
      <c r="E24" s="5"/>
      <c r="F24" s="8">
        <v>1000</v>
      </c>
      <c r="G24" s="5" t="s">
        <v>1391</v>
      </c>
      <c r="H24" s="5" t="s">
        <v>3976</v>
      </c>
      <c r="I24" s="5"/>
      <c r="J24" s="5" t="s">
        <v>4913</v>
      </c>
      <c r="K24" s="5" t="s">
        <v>4904</v>
      </c>
      <c r="L24" s="5"/>
      <c r="M24" s="5" t="s">
        <v>3909</v>
      </c>
      <c r="N24" s="5" t="s">
        <v>1446</v>
      </c>
      <c r="O24" s="5" t="s">
        <v>3859</v>
      </c>
    </row>
    <row r="25" spans="1:15" ht="57" customHeight="1" x14ac:dyDescent="0.2">
      <c r="A25" s="5" t="s">
        <v>3980</v>
      </c>
      <c r="B25" s="5" t="s">
        <v>264</v>
      </c>
      <c r="C25" s="5" t="s">
        <v>3986</v>
      </c>
      <c r="D25" s="5" t="s">
        <v>3984</v>
      </c>
      <c r="E25" s="5"/>
      <c r="F25" s="8">
        <v>1100</v>
      </c>
      <c r="G25" s="5" t="s">
        <v>1391</v>
      </c>
      <c r="H25" s="5" t="s">
        <v>3983</v>
      </c>
      <c r="I25" s="5"/>
      <c r="J25" s="5" t="s">
        <v>4914</v>
      </c>
      <c r="K25" s="5" t="s">
        <v>4904</v>
      </c>
      <c r="L25" s="5"/>
      <c r="M25" s="5" t="s">
        <v>3909</v>
      </c>
      <c r="N25" s="5" t="s">
        <v>1446</v>
      </c>
      <c r="O25" s="5" t="s">
        <v>3859</v>
      </c>
    </row>
    <row r="26" spans="1:15" ht="57" customHeight="1" x14ac:dyDescent="0.2">
      <c r="A26" s="5" t="s">
        <v>3987</v>
      </c>
      <c r="B26" s="5" t="s">
        <v>264</v>
      </c>
      <c r="C26" s="5" t="s">
        <v>3993</v>
      </c>
      <c r="D26" s="5" t="s">
        <v>3991</v>
      </c>
      <c r="E26" s="5"/>
      <c r="F26" s="8">
        <v>1200</v>
      </c>
      <c r="G26" s="5" t="s">
        <v>1391</v>
      </c>
      <c r="H26" s="5" t="s">
        <v>3990</v>
      </c>
      <c r="I26" s="5"/>
      <c r="J26" s="5" t="s">
        <v>4915</v>
      </c>
      <c r="K26" s="5" t="s">
        <v>4904</v>
      </c>
      <c r="L26" s="5"/>
      <c r="M26" s="5" t="s">
        <v>3909</v>
      </c>
      <c r="N26" s="5" t="s">
        <v>1446</v>
      </c>
      <c r="O26" s="5" t="s">
        <v>3859</v>
      </c>
    </row>
    <row r="27" spans="1:15" ht="57" customHeight="1" x14ac:dyDescent="0.2">
      <c r="A27" s="5" t="s">
        <v>4128</v>
      </c>
      <c r="B27" s="5" t="s">
        <v>4916</v>
      </c>
      <c r="C27" s="5" t="s">
        <v>4131</v>
      </c>
      <c r="D27" s="5" t="s">
        <v>4129</v>
      </c>
      <c r="E27" s="5"/>
      <c r="F27" s="8">
        <v>250</v>
      </c>
      <c r="G27" s="5" t="s">
        <v>4650</v>
      </c>
      <c r="H27" s="5"/>
      <c r="I27" s="5" t="s">
        <v>4127</v>
      </c>
      <c r="J27" s="5" t="s">
        <v>4905</v>
      </c>
      <c r="K27" s="5" t="s">
        <v>4917</v>
      </c>
      <c r="L27" s="5"/>
      <c r="M27" s="5" t="s">
        <v>3909</v>
      </c>
      <c r="N27" s="5" t="s">
        <v>4650</v>
      </c>
      <c r="O27" s="5" t="s">
        <v>3867</v>
      </c>
    </row>
    <row r="28" spans="1:15" ht="57" customHeight="1" x14ac:dyDescent="0.2">
      <c r="A28" s="5" t="s">
        <v>4147</v>
      </c>
      <c r="B28" s="5" t="s">
        <v>4916</v>
      </c>
      <c r="C28" s="5" t="s">
        <v>4150</v>
      </c>
      <c r="D28" s="5" t="s">
        <v>4148</v>
      </c>
      <c r="E28" s="5"/>
      <c r="F28" s="8">
        <v>575</v>
      </c>
      <c r="G28" s="5" t="s">
        <v>4650</v>
      </c>
      <c r="H28" s="5"/>
      <c r="I28" s="5" t="s">
        <v>4146</v>
      </c>
      <c r="J28" s="5" t="s">
        <v>4908</v>
      </c>
      <c r="K28" s="5" t="s">
        <v>4917</v>
      </c>
      <c r="L28" s="5"/>
      <c r="M28" s="5" t="s">
        <v>3909</v>
      </c>
      <c r="N28" s="5" t="s">
        <v>4650</v>
      </c>
      <c r="O28" s="5" t="s">
        <v>3867</v>
      </c>
    </row>
    <row r="29" spans="1:15" ht="57" customHeight="1" x14ac:dyDescent="0.2">
      <c r="A29" s="5" t="s">
        <v>4168</v>
      </c>
      <c r="B29" s="5" t="s">
        <v>4916</v>
      </c>
      <c r="C29" s="5" t="s">
        <v>4171</v>
      </c>
      <c r="D29" s="5" t="s">
        <v>4169</v>
      </c>
      <c r="E29" s="5"/>
      <c r="F29" s="8">
        <v>550</v>
      </c>
      <c r="G29" s="5" t="s">
        <v>4650</v>
      </c>
      <c r="H29" s="5"/>
      <c r="I29" s="5" t="s">
        <v>4167</v>
      </c>
      <c r="J29" s="5" t="s">
        <v>4908</v>
      </c>
      <c r="K29" s="5" t="s">
        <v>4917</v>
      </c>
      <c r="L29" s="5"/>
      <c r="M29" s="5" t="s">
        <v>3909</v>
      </c>
      <c r="N29" s="5" t="s">
        <v>4650</v>
      </c>
      <c r="O29" s="5" t="s">
        <v>3867</v>
      </c>
    </row>
    <row r="30" spans="1:15" ht="57" customHeight="1" x14ac:dyDescent="0.2">
      <c r="A30" s="5" t="s">
        <v>4189</v>
      </c>
      <c r="B30" s="5" t="s">
        <v>4916</v>
      </c>
      <c r="C30" s="5" t="s">
        <v>4192</v>
      </c>
      <c r="D30" s="5" t="s">
        <v>4190</v>
      </c>
      <c r="E30" s="5"/>
      <c r="F30" s="8">
        <v>650</v>
      </c>
      <c r="G30" s="5" t="s">
        <v>4650</v>
      </c>
      <c r="H30" s="5"/>
      <c r="I30" s="5" t="s">
        <v>4188</v>
      </c>
      <c r="J30" s="5" t="s">
        <v>4909</v>
      </c>
      <c r="K30" s="5" t="s">
        <v>4917</v>
      </c>
      <c r="L30" s="5"/>
      <c r="M30" s="5" t="s">
        <v>3909</v>
      </c>
      <c r="N30" s="5" t="s">
        <v>4650</v>
      </c>
      <c r="O30" s="5" t="s">
        <v>3867</v>
      </c>
    </row>
    <row r="31" spans="1:15" ht="57" customHeight="1" x14ac:dyDescent="0.2">
      <c r="A31" s="5" t="s">
        <v>4210</v>
      </c>
      <c r="B31" s="5" t="s">
        <v>4916</v>
      </c>
      <c r="C31" s="5" t="s">
        <v>4213</v>
      </c>
      <c r="D31" s="5" t="s">
        <v>4211</v>
      </c>
      <c r="E31" s="5"/>
      <c r="F31" s="8">
        <v>750</v>
      </c>
      <c r="G31" s="5" t="s">
        <v>4650</v>
      </c>
      <c r="H31" s="5"/>
      <c r="I31" s="5" t="s">
        <v>4209</v>
      </c>
      <c r="J31" s="5" t="s">
        <v>4910</v>
      </c>
      <c r="K31" s="5" t="s">
        <v>4917</v>
      </c>
      <c r="L31" s="5"/>
      <c r="M31" s="5" t="s">
        <v>3909</v>
      </c>
      <c r="N31" s="5" t="s">
        <v>4650</v>
      </c>
      <c r="O31" s="5" t="s">
        <v>3867</v>
      </c>
    </row>
    <row r="32" spans="1:15" ht="57" customHeight="1" x14ac:dyDescent="0.2">
      <c r="A32" s="5" t="s">
        <v>4231</v>
      </c>
      <c r="B32" s="5" t="s">
        <v>4916</v>
      </c>
      <c r="C32" s="5" t="s">
        <v>4234</v>
      </c>
      <c r="D32" s="5" t="s">
        <v>4232</v>
      </c>
      <c r="E32" s="5"/>
      <c r="F32" s="8">
        <v>850</v>
      </c>
      <c r="G32" s="5" t="s">
        <v>4650</v>
      </c>
      <c r="H32" s="5"/>
      <c r="I32" s="5" t="s">
        <v>4230</v>
      </c>
      <c r="J32" s="5" t="s">
        <v>4911</v>
      </c>
      <c r="K32" s="5" t="s">
        <v>4917</v>
      </c>
      <c r="L32" s="5"/>
      <c r="M32" s="5" t="s">
        <v>3909</v>
      </c>
      <c r="N32" s="5" t="s">
        <v>4650</v>
      </c>
      <c r="O32" s="5" t="s">
        <v>3867</v>
      </c>
    </row>
    <row r="33" spans="1:15" ht="57" customHeight="1" x14ac:dyDescent="0.2">
      <c r="A33" s="5" t="s">
        <v>4250</v>
      </c>
      <c r="B33" s="5" t="s">
        <v>4916</v>
      </c>
      <c r="C33" s="5" t="s">
        <v>4253</v>
      </c>
      <c r="D33" s="5" t="s">
        <v>4251</v>
      </c>
      <c r="E33" s="5"/>
      <c r="F33" s="8">
        <v>950</v>
      </c>
      <c r="G33" s="5" t="s">
        <v>4650</v>
      </c>
      <c r="H33" s="5"/>
      <c r="I33" s="5" t="s">
        <v>4249</v>
      </c>
      <c r="J33" s="5" t="s">
        <v>4912</v>
      </c>
      <c r="K33" s="5" t="s">
        <v>4917</v>
      </c>
      <c r="L33" s="5"/>
      <c r="M33" s="5" t="s">
        <v>3909</v>
      </c>
      <c r="N33" s="5" t="s">
        <v>4650</v>
      </c>
      <c r="O33" s="5" t="s">
        <v>3867</v>
      </c>
    </row>
    <row r="34" spans="1:15" ht="50.1" customHeight="1" x14ac:dyDescent="0.2">
      <c r="A34" s="5" t="s">
        <v>4274</v>
      </c>
      <c r="B34" s="5" t="s">
        <v>4918</v>
      </c>
      <c r="C34" s="5" t="s">
        <v>4277</v>
      </c>
      <c r="D34" s="5" t="s">
        <v>4275</v>
      </c>
      <c r="E34" s="5" t="s">
        <v>154</v>
      </c>
      <c r="F34" s="8">
        <v>110</v>
      </c>
      <c r="G34" s="5" t="s">
        <v>1391</v>
      </c>
      <c r="H34" s="5" t="s">
        <v>4272</v>
      </c>
      <c r="I34" s="5"/>
      <c r="J34" s="5" t="s">
        <v>4903</v>
      </c>
      <c r="K34" s="5" t="s">
        <v>4919</v>
      </c>
      <c r="L34" s="5"/>
      <c r="M34" s="5" t="s">
        <v>3909</v>
      </c>
      <c r="N34" s="5" t="s">
        <v>4920</v>
      </c>
      <c r="O34" s="5" t="s">
        <v>3863</v>
      </c>
    </row>
    <row r="35" spans="1:15" ht="50.1" customHeight="1" x14ac:dyDescent="0.2">
      <c r="A35" s="5" t="s">
        <v>4282</v>
      </c>
      <c r="B35" s="5" t="s">
        <v>4918</v>
      </c>
      <c r="C35" s="5" t="s">
        <v>4285</v>
      </c>
      <c r="D35" s="5" t="s">
        <v>4283</v>
      </c>
      <c r="E35" s="5" t="s">
        <v>154</v>
      </c>
      <c r="F35" s="8">
        <v>210</v>
      </c>
      <c r="G35" s="5" t="s">
        <v>1391</v>
      </c>
      <c r="H35" s="5" t="s">
        <v>4281</v>
      </c>
      <c r="I35" s="5"/>
      <c r="J35" s="5" t="s">
        <v>4905</v>
      </c>
      <c r="K35" s="5" t="s">
        <v>4919</v>
      </c>
      <c r="L35" s="5"/>
      <c r="M35" s="5" t="s">
        <v>3909</v>
      </c>
      <c r="N35" s="5" t="s">
        <v>4920</v>
      </c>
      <c r="O35" s="5" t="s">
        <v>3863</v>
      </c>
    </row>
    <row r="36" spans="1:15" ht="50.1" customHeight="1" x14ac:dyDescent="0.2">
      <c r="A36" s="5" t="s">
        <v>4290</v>
      </c>
      <c r="B36" s="5" t="s">
        <v>4918</v>
      </c>
      <c r="C36" s="5" t="s">
        <v>4293</v>
      </c>
      <c r="D36" s="5" t="s">
        <v>4291</v>
      </c>
      <c r="E36" s="5" t="s">
        <v>154</v>
      </c>
      <c r="F36" s="8">
        <v>310</v>
      </c>
      <c r="G36" s="5" t="s">
        <v>1391</v>
      </c>
      <c r="H36" s="5" t="s">
        <v>4289</v>
      </c>
      <c r="I36" s="5"/>
      <c r="J36" s="5" t="s">
        <v>4906</v>
      </c>
      <c r="K36" s="5" t="s">
        <v>4919</v>
      </c>
      <c r="L36" s="5"/>
      <c r="M36" s="5" t="s">
        <v>3909</v>
      </c>
      <c r="N36" s="5" t="s">
        <v>4920</v>
      </c>
      <c r="O36" s="5" t="s">
        <v>3863</v>
      </c>
    </row>
    <row r="37" spans="1:15" ht="50.1" customHeight="1" x14ac:dyDescent="0.2">
      <c r="A37" s="5" t="s">
        <v>4298</v>
      </c>
      <c r="B37" s="5" t="s">
        <v>4918</v>
      </c>
      <c r="C37" s="5" t="s">
        <v>4301</v>
      </c>
      <c r="D37" s="5" t="s">
        <v>4299</v>
      </c>
      <c r="E37" s="5" t="s">
        <v>154</v>
      </c>
      <c r="F37" s="8">
        <v>410</v>
      </c>
      <c r="G37" s="5" t="s">
        <v>1391</v>
      </c>
      <c r="H37" s="5" t="s">
        <v>4297</v>
      </c>
      <c r="I37" s="5"/>
      <c r="J37" s="5" t="s">
        <v>4907</v>
      </c>
      <c r="K37" s="5" t="s">
        <v>4919</v>
      </c>
      <c r="L37" s="5"/>
      <c r="M37" s="5" t="s">
        <v>3909</v>
      </c>
      <c r="N37" s="5" t="s">
        <v>4920</v>
      </c>
      <c r="O37" s="5" t="s">
        <v>3863</v>
      </c>
    </row>
    <row r="38" spans="1:15" ht="50.1" customHeight="1" x14ac:dyDescent="0.2">
      <c r="A38" s="5" t="s">
        <v>4306</v>
      </c>
      <c r="B38" s="5" t="s">
        <v>4918</v>
      </c>
      <c r="C38" s="5" t="s">
        <v>4309</v>
      </c>
      <c r="D38" s="5" t="s">
        <v>4307</v>
      </c>
      <c r="E38" s="5" t="s">
        <v>154</v>
      </c>
      <c r="F38" s="8">
        <v>510</v>
      </c>
      <c r="G38" s="5" t="s">
        <v>1391</v>
      </c>
      <c r="H38" s="5" t="s">
        <v>4305</v>
      </c>
      <c r="I38" s="5"/>
      <c r="J38" s="5" t="s">
        <v>4908</v>
      </c>
      <c r="K38" s="5" t="s">
        <v>4919</v>
      </c>
      <c r="L38" s="5"/>
      <c r="M38" s="5" t="s">
        <v>3909</v>
      </c>
      <c r="N38" s="5" t="s">
        <v>4920</v>
      </c>
      <c r="O38" s="5" t="s">
        <v>3863</v>
      </c>
    </row>
    <row r="39" spans="1:15" ht="50.1" customHeight="1" x14ac:dyDescent="0.2">
      <c r="A39" s="5" t="s">
        <v>4314</v>
      </c>
      <c r="B39" s="5" t="s">
        <v>4918</v>
      </c>
      <c r="C39" s="5" t="s">
        <v>4317</v>
      </c>
      <c r="D39" s="5" t="s">
        <v>4315</v>
      </c>
      <c r="E39" s="5" t="s">
        <v>154</v>
      </c>
      <c r="F39" s="8">
        <v>610</v>
      </c>
      <c r="G39" s="5" t="s">
        <v>1391</v>
      </c>
      <c r="H39" s="5" t="s">
        <v>4313</v>
      </c>
      <c r="I39" s="5"/>
      <c r="J39" s="5" t="s">
        <v>4909</v>
      </c>
      <c r="K39" s="5" t="s">
        <v>4919</v>
      </c>
      <c r="L39" s="5"/>
      <c r="M39" s="5" t="s">
        <v>3909</v>
      </c>
      <c r="N39" s="5" t="s">
        <v>4920</v>
      </c>
      <c r="O39" s="5" t="s">
        <v>3863</v>
      </c>
    </row>
    <row r="40" spans="1:15" ht="50.1" customHeight="1" x14ac:dyDescent="0.2">
      <c r="A40" s="5" t="s">
        <v>4322</v>
      </c>
      <c r="B40" s="5" t="s">
        <v>4918</v>
      </c>
      <c r="C40" s="5" t="s">
        <v>4325</v>
      </c>
      <c r="D40" s="5" t="s">
        <v>4323</v>
      </c>
      <c r="E40" s="5" t="s">
        <v>154</v>
      </c>
      <c r="F40" s="8">
        <v>710</v>
      </c>
      <c r="G40" s="5" t="s">
        <v>1391</v>
      </c>
      <c r="H40" s="5" t="s">
        <v>4321</v>
      </c>
      <c r="I40" s="5"/>
      <c r="J40" s="5" t="s">
        <v>4910</v>
      </c>
      <c r="K40" s="5" t="s">
        <v>4919</v>
      </c>
      <c r="L40" s="5"/>
      <c r="M40" s="5" t="s">
        <v>3909</v>
      </c>
      <c r="N40" s="5" t="s">
        <v>4920</v>
      </c>
      <c r="O40" s="5" t="s">
        <v>3863</v>
      </c>
    </row>
    <row r="41" spans="1:15" ht="50.1" customHeight="1" x14ac:dyDescent="0.2">
      <c r="A41" s="5" t="s">
        <v>4330</v>
      </c>
      <c r="B41" s="5" t="s">
        <v>4918</v>
      </c>
      <c r="C41" s="5" t="s">
        <v>4333</v>
      </c>
      <c r="D41" s="5" t="s">
        <v>4331</v>
      </c>
      <c r="E41" s="5" t="s">
        <v>154</v>
      </c>
      <c r="F41" s="8">
        <v>810</v>
      </c>
      <c r="G41" s="5" t="s">
        <v>1391</v>
      </c>
      <c r="H41" s="5" t="s">
        <v>4329</v>
      </c>
      <c r="I41" s="5"/>
      <c r="J41" s="5" t="s">
        <v>4911</v>
      </c>
      <c r="K41" s="5" t="s">
        <v>4919</v>
      </c>
      <c r="L41" s="5"/>
      <c r="M41" s="5" t="s">
        <v>3909</v>
      </c>
      <c r="N41" s="5" t="s">
        <v>4920</v>
      </c>
      <c r="O41" s="5" t="s">
        <v>3863</v>
      </c>
    </row>
    <row r="42" spans="1:15" ht="50.1" customHeight="1" x14ac:dyDescent="0.2">
      <c r="A42" s="5" t="s">
        <v>4338</v>
      </c>
      <c r="B42" s="5" t="s">
        <v>4918</v>
      </c>
      <c r="C42" s="5" t="s">
        <v>4341</v>
      </c>
      <c r="D42" s="5" t="s">
        <v>4339</v>
      </c>
      <c r="E42" s="5" t="s">
        <v>154</v>
      </c>
      <c r="F42" s="8">
        <v>910</v>
      </c>
      <c r="G42" s="5" t="s">
        <v>1391</v>
      </c>
      <c r="H42" s="5" t="s">
        <v>4337</v>
      </c>
      <c r="I42" s="5"/>
      <c r="J42" s="5" t="s">
        <v>4912</v>
      </c>
      <c r="K42" s="5" t="s">
        <v>4919</v>
      </c>
      <c r="L42" s="5"/>
      <c r="M42" s="5" t="s">
        <v>3909</v>
      </c>
      <c r="N42" s="5" t="s">
        <v>4920</v>
      </c>
      <c r="O42" s="5" t="s">
        <v>3863</v>
      </c>
    </row>
    <row r="43" spans="1:15" ht="50.1" customHeight="1" x14ac:dyDescent="0.2">
      <c r="A43" s="5" t="s">
        <v>4346</v>
      </c>
      <c r="B43" s="5" t="s">
        <v>4918</v>
      </c>
      <c r="C43" s="5" t="s">
        <v>4349</v>
      </c>
      <c r="D43" s="5" t="s">
        <v>4347</v>
      </c>
      <c r="E43" s="5" t="s">
        <v>154</v>
      </c>
      <c r="F43" s="8">
        <v>1010</v>
      </c>
      <c r="G43" s="5" t="s">
        <v>1391</v>
      </c>
      <c r="H43" s="5" t="s">
        <v>4345</v>
      </c>
      <c r="I43" s="5"/>
      <c r="J43" s="5" t="s">
        <v>4913</v>
      </c>
      <c r="K43" s="5" t="s">
        <v>4919</v>
      </c>
      <c r="L43" s="5"/>
      <c r="M43" s="5" t="s">
        <v>3909</v>
      </c>
      <c r="N43" s="5" t="s">
        <v>4920</v>
      </c>
      <c r="O43" s="5" t="s">
        <v>3863</v>
      </c>
    </row>
    <row r="44" spans="1:15" ht="50.1" customHeight="1" x14ac:dyDescent="0.2">
      <c r="A44" s="5" t="s">
        <v>4354</v>
      </c>
      <c r="B44" s="5" t="s">
        <v>4918</v>
      </c>
      <c r="C44" s="5" t="s">
        <v>4357</v>
      </c>
      <c r="D44" s="5" t="s">
        <v>4355</v>
      </c>
      <c r="E44" s="5" t="s">
        <v>154</v>
      </c>
      <c r="F44" s="8">
        <v>1110</v>
      </c>
      <c r="G44" s="5" t="s">
        <v>1391</v>
      </c>
      <c r="H44" s="5" t="s">
        <v>4353</v>
      </c>
      <c r="I44" s="5"/>
      <c r="J44" s="5" t="s">
        <v>4914</v>
      </c>
      <c r="K44" s="5" t="s">
        <v>4919</v>
      </c>
      <c r="L44" s="5"/>
      <c r="M44" s="5" t="s">
        <v>3909</v>
      </c>
      <c r="N44" s="5" t="s">
        <v>4920</v>
      </c>
      <c r="O44" s="5" t="s">
        <v>3863</v>
      </c>
    </row>
    <row r="45" spans="1:15" ht="50.1" customHeight="1" x14ac:dyDescent="0.2">
      <c r="A45" s="5" t="s">
        <v>4362</v>
      </c>
      <c r="B45" s="5" t="s">
        <v>4918</v>
      </c>
      <c r="C45" s="5" t="s">
        <v>4365</v>
      </c>
      <c r="D45" s="5" t="s">
        <v>4363</v>
      </c>
      <c r="E45" s="5" t="s">
        <v>154</v>
      </c>
      <c r="F45" s="8">
        <v>1210</v>
      </c>
      <c r="G45" s="5" t="s">
        <v>1391</v>
      </c>
      <c r="H45" s="5" t="s">
        <v>4361</v>
      </c>
      <c r="I45" s="5"/>
      <c r="J45" s="5" t="s">
        <v>4915</v>
      </c>
      <c r="K45" s="5" t="s">
        <v>4919</v>
      </c>
      <c r="L45" s="5"/>
      <c r="M45" s="5" t="s">
        <v>3909</v>
      </c>
      <c r="N45" s="5" t="s">
        <v>4920</v>
      </c>
      <c r="O45" s="5" t="s">
        <v>3863</v>
      </c>
    </row>
  </sheetData>
  <dataValidations count="9">
    <dataValidation type="list" sqref="D7:D1200" xr:uid="{00000000-0002-0000-0E00-000000000000}">
      <formula1>og_list_8</formula1>
    </dataValidation>
    <dataValidation type="list" sqref="E7:E1200" xr:uid="{00000000-0002-0000-0E00-000001000000}">
      <formula1>og_list_4</formula1>
    </dataValidation>
    <dataValidation type="whole" sqref="F7:F1200" xr:uid="{00000000-0002-0000-0E00-000002000000}">
      <formula1>0</formula1>
      <formula2>1000000</formula2>
    </dataValidation>
    <dataValidation type="list" sqref="G7:G1200" xr:uid="{00000000-0002-0000-0E00-000003000000}">
      <formula1>"CONTENT,FIGURE"</formula1>
    </dataValidation>
    <dataValidation type="list" sqref="H7:H1200" xr:uid="{00000000-0002-0000-0E00-000004000000}">
      <formula1>og_list_13</formula1>
    </dataValidation>
    <dataValidation type="list" sqref="I7:I1200" xr:uid="{00000000-0002-0000-0E00-000005000000}">
      <formula1>og_list_15</formula1>
    </dataValidation>
    <dataValidation type="list" sqref="M7:M1200" xr:uid="{00000000-0002-0000-0E00-000006000000}">
      <formula1>og_list_16</formula1>
    </dataValidation>
    <dataValidation type="list" sqref="N7:N1200" xr:uid="{00000000-0002-0000-0E00-000007000000}">
      <formula1>"HEADER,CONTINUANCE,FIGURE"</formula1>
    </dataValidation>
    <dataValidation type="list" sqref="O7:O1200" xr:uid="{00000000-0002-0000-0E00-000008000000}">
      <formula1>og_list_17</formula1>
    </dataValidation>
  </dataValidations>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67E8F9"/>
  </sheetPr>
  <dimension ref="A1:K223"/>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8" width="48.0234375" customWidth="1"/>
    <col min="9" max="11" width="29.0546875" customWidth="1"/>
  </cols>
  <sheetData>
    <row r="1" spans="1:11" ht="21.75" x14ac:dyDescent="0.25">
      <c r="A1" s="3" t="s">
        <v>4921</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1456</v>
      </c>
      <c r="B3" s="2"/>
      <c r="C3" s="2"/>
      <c r="D3" s="2"/>
      <c r="E3" s="2"/>
      <c r="F3" s="2"/>
      <c r="G3" s="2"/>
      <c r="H3" s="2"/>
      <c r="I3" s="2"/>
      <c r="J3" s="2"/>
      <c r="K3" s="2"/>
    </row>
    <row r="4" spans="1:11" ht="16.5" x14ac:dyDescent="0.2">
      <c r="A4" s="4" t="str">
        <f>HYPERLINK("#'Field Dictionary'!A156","🔗🧭 - 1 - SHORT TEXT")</f>
        <v>🔗🧭 - 1 - SHORT TEXT</v>
      </c>
      <c r="B4" s="4" t="str">
        <f>HYPERLINK("#'Field Dictionary'!A157","🔗🧭 - 2 - LONG TEXT")</f>
        <v>🔗🧭 - 2 - LONG TEXT</v>
      </c>
      <c r="C4" s="4" t="str">
        <f>HYPERLINK("#'Field Dictionary'!A158","🔗🧭 - 3 - SHORT TEXT")</f>
        <v>🔗🧭 - 3 - SHORT TEXT</v>
      </c>
      <c r="D4" s="4" t="str">
        <f>HYPERLINK("#'Field Dictionary'!A159","🔗🧭 - 4 - LINKED RECORD")</f>
        <v>🔗🧭 - 4 - LINKED RECORD</v>
      </c>
      <c r="E4" s="4" t="str">
        <f>HYPERLINK("#'Field Dictionary'!A160","🔗🧭 - 5 - LINKED RECORD")</f>
        <v>🔗🧭 - 5 - LINKED RECORD</v>
      </c>
      <c r="F4" s="4" t="str">
        <f>HYPERLINK("#'Field Dictionary'!A161","🔗🧭 - 6 - SINGLE SELECT")</f>
        <v>🔗🧭 - 6 - SINGLE SELECT</v>
      </c>
      <c r="G4" s="4" t="str">
        <f>HYPERLINK("#'Field Dictionary'!A162","🔗🧭 - 7 - LONG TEXT")</f>
        <v>🔗🧭 - 7 - LONG TEXT</v>
      </c>
      <c r="H4" s="4" t="str">
        <f>HYPERLINK("#'Field Dictionary'!A163","🔗🧭 - 8 - LONG TEXT")</f>
        <v>🔗🧭 - 8 - LONG TEXT</v>
      </c>
      <c r="I4" s="4" t="str">
        <f>HYPERLINK("#'Field Dictionary'!A164","🔗🧭 - 9 - SINGLE SELECT")</f>
        <v>🔗🧭 - 9 - SINGLE SELECT</v>
      </c>
      <c r="J4" s="4" t="str">
        <f>HYPERLINK("#'Field Dictionary'!A165","🔗🧭 - 10 - LINKED RECORD")</f>
        <v>🔗🧭 - 10 - LINKED RECORD</v>
      </c>
      <c r="K4" s="4" t="str">
        <f>HYPERLINK("#'Field Dictionary'!A166","🔗🧭 - 11 - LINKED RECORD")</f>
        <v>🔗🧭 - 11 - LINKED RECORD</v>
      </c>
    </row>
    <row r="5" spans="1:11" ht="38.1" customHeight="1" x14ac:dyDescent="0.2">
      <c r="A5" s="7" t="s">
        <v>100</v>
      </c>
      <c r="B5" s="7" t="s">
        <v>101</v>
      </c>
      <c r="C5" s="7" t="s">
        <v>102</v>
      </c>
      <c r="D5" s="7" t="s">
        <v>4922</v>
      </c>
      <c r="E5" s="7" t="s">
        <v>4923</v>
      </c>
      <c r="F5" s="7" t="s">
        <v>4924</v>
      </c>
      <c r="G5" s="7" t="s">
        <v>4925</v>
      </c>
      <c r="H5" s="7" t="s">
        <v>4926</v>
      </c>
      <c r="I5" s="7" t="s">
        <v>4927</v>
      </c>
      <c r="J5" s="7" t="s">
        <v>4928</v>
      </c>
      <c r="K5" s="7" t="s">
        <v>4929</v>
      </c>
    </row>
    <row r="6" spans="1:11" ht="38.1" customHeight="1" x14ac:dyDescent="0.2">
      <c r="A6" s="7" t="s">
        <v>115</v>
      </c>
      <c r="B6" s="7" t="s">
        <v>116</v>
      </c>
      <c r="C6" s="7" t="s">
        <v>117</v>
      </c>
      <c r="D6" s="7" t="s">
        <v>4930</v>
      </c>
      <c r="E6" s="7" t="s">
        <v>4931</v>
      </c>
      <c r="F6" s="7" t="s">
        <v>4932</v>
      </c>
      <c r="G6" s="7" t="s">
        <v>4933</v>
      </c>
      <c r="H6" s="7" t="s">
        <v>4934</v>
      </c>
      <c r="I6" s="7" t="s">
        <v>4935</v>
      </c>
      <c r="J6" s="7" t="s">
        <v>4936</v>
      </c>
      <c r="K6" s="7" t="s">
        <v>4937</v>
      </c>
    </row>
    <row r="7" spans="1:11" ht="50.1" customHeight="1" x14ac:dyDescent="0.2">
      <c r="A7" s="5" t="s">
        <v>4938</v>
      </c>
      <c r="B7" s="5" t="s">
        <v>1456</v>
      </c>
      <c r="C7" s="5" t="s">
        <v>4938</v>
      </c>
      <c r="D7" s="5" t="s">
        <v>3572</v>
      </c>
      <c r="E7" s="5" t="s">
        <v>3577</v>
      </c>
      <c r="F7" s="5" t="s">
        <v>4939</v>
      </c>
      <c r="G7" s="5" t="s">
        <v>4940</v>
      </c>
      <c r="H7" s="5" t="s">
        <v>4941</v>
      </c>
      <c r="I7" s="5" t="s">
        <v>1517</v>
      </c>
      <c r="J7" s="5"/>
      <c r="K7" s="5"/>
    </row>
    <row r="8" spans="1:11" ht="50.1" customHeight="1" x14ac:dyDescent="0.2">
      <c r="A8" s="5" t="s">
        <v>4942</v>
      </c>
      <c r="B8" s="5" t="s">
        <v>1456</v>
      </c>
      <c r="C8" s="5" t="s">
        <v>4942</v>
      </c>
      <c r="D8" s="5" t="s">
        <v>3577</v>
      </c>
      <c r="E8" s="5" t="s">
        <v>3600</v>
      </c>
      <c r="F8" s="5" t="s">
        <v>1493</v>
      </c>
      <c r="G8" s="5" t="s">
        <v>4940</v>
      </c>
      <c r="H8" s="5" t="s">
        <v>4941</v>
      </c>
      <c r="I8" s="5" t="s">
        <v>1517</v>
      </c>
      <c r="J8" s="5"/>
      <c r="K8" s="5"/>
    </row>
    <row r="9" spans="1:11" ht="50.1" customHeight="1" x14ac:dyDescent="0.2">
      <c r="A9" s="5" t="s">
        <v>4943</v>
      </c>
      <c r="B9" s="5" t="s">
        <v>1456</v>
      </c>
      <c r="C9" s="5" t="s">
        <v>4943</v>
      </c>
      <c r="D9" s="5" t="s">
        <v>3590</v>
      </c>
      <c r="E9" s="5" t="s">
        <v>3600</v>
      </c>
      <c r="F9" s="5" t="s">
        <v>4944</v>
      </c>
      <c r="G9" s="5" t="s">
        <v>4940</v>
      </c>
      <c r="H9" s="5" t="s">
        <v>4941</v>
      </c>
      <c r="I9" s="5" t="s">
        <v>1517</v>
      </c>
      <c r="J9" s="5"/>
      <c r="K9" s="5"/>
    </row>
    <row r="10" spans="1:11" ht="50.1" customHeight="1" x14ac:dyDescent="0.2">
      <c r="A10" s="5" t="s">
        <v>4945</v>
      </c>
      <c r="B10" s="5" t="s">
        <v>1456</v>
      </c>
      <c r="C10" s="5" t="s">
        <v>4945</v>
      </c>
      <c r="D10" s="5" t="s">
        <v>3600</v>
      </c>
      <c r="E10" s="5" t="s">
        <v>3563</v>
      </c>
      <c r="F10" s="5" t="s">
        <v>4946</v>
      </c>
      <c r="G10" s="5" t="s">
        <v>4940</v>
      </c>
      <c r="H10" s="5" t="s">
        <v>4941</v>
      </c>
      <c r="I10" s="5" t="s">
        <v>1517</v>
      </c>
      <c r="J10" s="5"/>
      <c r="K10" s="5"/>
    </row>
    <row r="11" spans="1:11" ht="50.1" customHeight="1" x14ac:dyDescent="0.2">
      <c r="A11" s="5" t="s">
        <v>4947</v>
      </c>
      <c r="B11" s="5" t="s">
        <v>1456</v>
      </c>
      <c r="C11" s="5" t="s">
        <v>4947</v>
      </c>
      <c r="D11" s="5" t="s">
        <v>3608</v>
      </c>
      <c r="E11" s="5" t="s">
        <v>3612</v>
      </c>
      <c r="F11" s="5" t="s">
        <v>4939</v>
      </c>
      <c r="G11" s="5" t="s">
        <v>4948</v>
      </c>
      <c r="H11" s="5" t="s">
        <v>4941</v>
      </c>
      <c r="I11" s="5" t="s">
        <v>1517</v>
      </c>
      <c r="J11" s="5"/>
      <c r="K11" s="5"/>
    </row>
    <row r="12" spans="1:11" ht="50.1" customHeight="1" x14ac:dyDescent="0.2">
      <c r="A12" s="5" t="s">
        <v>4949</v>
      </c>
      <c r="B12" s="5" t="s">
        <v>1456</v>
      </c>
      <c r="C12" s="5" t="s">
        <v>4949</v>
      </c>
      <c r="D12" s="5" t="s">
        <v>3612</v>
      </c>
      <c r="E12" s="5" t="s">
        <v>3632</v>
      </c>
      <c r="F12" s="5" t="s">
        <v>1493</v>
      </c>
      <c r="G12" s="5" t="s">
        <v>4948</v>
      </c>
      <c r="H12" s="5" t="s">
        <v>4941</v>
      </c>
      <c r="I12" s="5" t="s">
        <v>1517</v>
      </c>
      <c r="J12" s="5"/>
      <c r="K12" s="5"/>
    </row>
    <row r="13" spans="1:11" ht="50.1" customHeight="1" x14ac:dyDescent="0.2">
      <c r="A13" s="5" t="s">
        <v>4950</v>
      </c>
      <c r="B13" s="5" t="s">
        <v>1456</v>
      </c>
      <c r="C13" s="5" t="s">
        <v>4950</v>
      </c>
      <c r="D13" s="5" t="s">
        <v>3624</v>
      </c>
      <c r="E13" s="5" t="s">
        <v>3632</v>
      </c>
      <c r="F13" s="5" t="s">
        <v>4944</v>
      </c>
      <c r="G13" s="5" t="s">
        <v>4948</v>
      </c>
      <c r="H13" s="5" t="s">
        <v>4941</v>
      </c>
      <c r="I13" s="5" t="s">
        <v>1517</v>
      </c>
      <c r="J13" s="5"/>
      <c r="K13" s="5"/>
    </row>
    <row r="14" spans="1:11" ht="50.1" customHeight="1" x14ac:dyDescent="0.2">
      <c r="A14" s="5" t="s">
        <v>4951</v>
      </c>
      <c r="B14" s="5" t="s">
        <v>1456</v>
      </c>
      <c r="C14" s="5" t="s">
        <v>4951</v>
      </c>
      <c r="D14" s="5" t="s">
        <v>3632</v>
      </c>
      <c r="E14" s="5" t="s">
        <v>3563</v>
      </c>
      <c r="F14" s="5" t="s">
        <v>4946</v>
      </c>
      <c r="G14" s="5" t="s">
        <v>4948</v>
      </c>
      <c r="H14" s="5" t="s">
        <v>4941</v>
      </c>
      <c r="I14" s="5" t="s">
        <v>1517</v>
      </c>
      <c r="J14" s="5"/>
      <c r="K14" s="5"/>
    </row>
    <row r="15" spans="1:11" ht="50.1" customHeight="1" x14ac:dyDescent="0.2">
      <c r="A15" s="5" t="s">
        <v>4952</v>
      </c>
      <c r="B15" s="5" t="s">
        <v>1456</v>
      </c>
      <c r="C15" s="5" t="s">
        <v>4952</v>
      </c>
      <c r="D15" s="5" t="s">
        <v>3640</v>
      </c>
      <c r="E15" s="5" t="s">
        <v>3644</v>
      </c>
      <c r="F15" s="5" t="s">
        <v>4939</v>
      </c>
      <c r="G15" s="5" t="s">
        <v>4953</v>
      </c>
      <c r="H15" s="5" t="s">
        <v>4941</v>
      </c>
      <c r="I15" s="5" t="s">
        <v>1517</v>
      </c>
      <c r="J15" s="5"/>
      <c r="K15" s="5"/>
    </row>
    <row r="16" spans="1:11" ht="50.1" customHeight="1" x14ac:dyDescent="0.2">
      <c r="A16" s="5" t="s">
        <v>4954</v>
      </c>
      <c r="B16" s="5" t="s">
        <v>1456</v>
      </c>
      <c r="C16" s="5" t="s">
        <v>4954</v>
      </c>
      <c r="D16" s="5" t="s">
        <v>3644</v>
      </c>
      <c r="E16" s="5" t="s">
        <v>3664</v>
      </c>
      <c r="F16" s="5" t="s">
        <v>1493</v>
      </c>
      <c r="G16" s="5" t="s">
        <v>4953</v>
      </c>
      <c r="H16" s="5" t="s">
        <v>4941</v>
      </c>
      <c r="I16" s="5" t="s">
        <v>1517</v>
      </c>
      <c r="J16" s="5"/>
      <c r="K16" s="5"/>
    </row>
    <row r="17" spans="1:11" ht="50.1" customHeight="1" x14ac:dyDescent="0.2">
      <c r="A17" s="5" t="s">
        <v>4955</v>
      </c>
      <c r="B17" s="5" t="s">
        <v>1456</v>
      </c>
      <c r="C17" s="5" t="s">
        <v>4955</v>
      </c>
      <c r="D17" s="5" t="s">
        <v>3656</v>
      </c>
      <c r="E17" s="5" t="s">
        <v>3664</v>
      </c>
      <c r="F17" s="5" t="s">
        <v>4944</v>
      </c>
      <c r="G17" s="5" t="s">
        <v>4953</v>
      </c>
      <c r="H17" s="5" t="s">
        <v>4941</v>
      </c>
      <c r="I17" s="5" t="s">
        <v>1517</v>
      </c>
      <c r="J17" s="5"/>
      <c r="K17" s="5"/>
    </row>
    <row r="18" spans="1:11" ht="50.1" customHeight="1" x14ac:dyDescent="0.2">
      <c r="A18" s="5" t="s">
        <v>4956</v>
      </c>
      <c r="B18" s="5" t="s">
        <v>1456</v>
      </c>
      <c r="C18" s="5" t="s">
        <v>4956</v>
      </c>
      <c r="D18" s="5" t="s">
        <v>3664</v>
      </c>
      <c r="E18" s="5" t="s">
        <v>3563</v>
      </c>
      <c r="F18" s="5" t="s">
        <v>4946</v>
      </c>
      <c r="G18" s="5" t="s">
        <v>4953</v>
      </c>
      <c r="H18" s="5" t="s">
        <v>4941</v>
      </c>
      <c r="I18" s="5" t="s">
        <v>1517</v>
      </c>
      <c r="J18" s="5"/>
      <c r="K18" s="5"/>
    </row>
    <row r="19" spans="1:11" ht="50.1" customHeight="1" x14ac:dyDescent="0.2">
      <c r="A19" s="5" t="s">
        <v>4957</v>
      </c>
      <c r="B19" s="5" t="s">
        <v>1456</v>
      </c>
      <c r="C19" s="5" t="s">
        <v>4957</v>
      </c>
      <c r="D19" s="5" t="s">
        <v>3672</v>
      </c>
      <c r="E19" s="5" t="s">
        <v>3676</v>
      </c>
      <c r="F19" s="5" t="s">
        <v>4939</v>
      </c>
      <c r="G19" s="5" t="s">
        <v>4958</v>
      </c>
      <c r="H19" s="5" t="s">
        <v>4941</v>
      </c>
      <c r="I19" s="5" t="s">
        <v>1517</v>
      </c>
      <c r="J19" s="5"/>
      <c r="K19" s="5"/>
    </row>
    <row r="20" spans="1:11" ht="50.1" customHeight="1" x14ac:dyDescent="0.2">
      <c r="A20" s="5" t="s">
        <v>4959</v>
      </c>
      <c r="B20" s="5" t="s">
        <v>1456</v>
      </c>
      <c r="C20" s="5" t="s">
        <v>4959</v>
      </c>
      <c r="D20" s="5" t="s">
        <v>3676</v>
      </c>
      <c r="E20" s="5" t="s">
        <v>3696</v>
      </c>
      <c r="F20" s="5" t="s">
        <v>1493</v>
      </c>
      <c r="G20" s="5" t="s">
        <v>4958</v>
      </c>
      <c r="H20" s="5" t="s">
        <v>4941</v>
      </c>
      <c r="I20" s="5" t="s">
        <v>1517</v>
      </c>
      <c r="J20" s="5"/>
      <c r="K20" s="5"/>
    </row>
    <row r="21" spans="1:11" ht="50.1" customHeight="1" x14ac:dyDescent="0.2">
      <c r="A21" s="5" t="s">
        <v>4960</v>
      </c>
      <c r="B21" s="5" t="s">
        <v>1456</v>
      </c>
      <c r="C21" s="5" t="s">
        <v>4960</v>
      </c>
      <c r="D21" s="5" t="s">
        <v>3688</v>
      </c>
      <c r="E21" s="5" t="s">
        <v>3696</v>
      </c>
      <c r="F21" s="5" t="s">
        <v>4944</v>
      </c>
      <c r="G21" s="5" t="s">
        <v>4958</v>
      </c>
      <c r="H21" s="5" t="s">
        <v>4941</v>
      </c>
      <c r="I21" s="5" t="s">
        <v>1517</v>
      </c>
      <c r="J21" s="5"/>
      <c r="K21" s="5"/>
    </row>
    <row r="22" spans="1:11" ht="50.1" customHeight="1" x14ac:dyDescent="0.2">
      <c r="A22" s="5" t="s">
        <v>4961</v>
      </c>
      <c r="B22" s="5" t="s">
        <v>1456</v>
      </c>
      <c r="C22" s="5" t="s">
        <v>4961</v>
      </c>
      <c r="D22" s="5" t="s">
        <v>3696</v>
      </c>
      <c r="E22" s="5" t="s">
        <v>3563</v>
      </c>
      <c r="F22" s="5" t="s">
        <v>4946</v>
      </c>
      <c r="G22" s="5" t="s">
        <v>4958</v>
      </c>
      <c r="H22" s="5" t="s">
        <v>4941</v>
      </c>
      <c r="I22" s="5" t="s">
        <v>1517</v>
      </c>
      <c r="J22" s="5"/>
      <c r="K22" s="5"/>
    </row>
    <row r="23" spans="1:11" ht="50.1" customHeight="1" x14ac:dyDescent="0.2">
      <c r="A23" s="5" t="s">
        <v>4962</v>
      </c>
      <c r="B23" s="5" t="s">
        <v>1456</v>
      </c>
      <c r="C23" s="5" t="s">
        <v>4962</v>
      </c>
      <c r="D23" s="5" t="s">
        <v>3704</v>
      </c>
      <c r="E23" s="5" t="s">
        <v>3708</v>
      </c>
      <c r="F23" s="5" t="s">
        <v>4939</v>
      </c>
      <c r="G23" s="5" t="s">
        <v>4963</v>
      </c>
      <c r="H23" s="5" t="s">
        <v>4941</v>
      </c>
      <c r="I23" s="5" t="s">
        <v>1517</v>
      </c>
      <c r="J23" s="5"/>
      <c r="K23" s="5"/>
    </row>
    <row r="24" spans="1:11" ht="50.1" customHeight="1" x14ac:dyDescent="0.2">
      <c r="A24" s="5" t="s">
        <v>4964</v>
      </c>
      <c r="B24" s="5" t="s">
        <v>1456</v>
      </c>
      <c r="C24" s="5" t="s">
        <v>4964</v>
      </c>
      <c r="D24" s="5" t="s">
        <v>3708</v>
      </c>
      <c r="E24" s="5" t="s">
        <v>3728</v>
      </c>
      <c r="F24" s="5" t="s">
        <v>1493</v>
      </c>
      <c r="G24" s="5" t="s">
        <v>4963</v>
      </c>
      <c r="H24" s="5" t="s">
        <v>4941</v>
      </c>
      <c r="I24" s="5" t="s">
        <v>1517</v>
      </c>
      <c r="J24" s="5"/>
      <c r="K24" s="5"/>
    </row>
    <row r="25" spans="1:11" ht="50.1" customHeight="1" x14ac:dyDescent="0.2">
      <c r="A25" s="5" t="s">
        <v>4965</v>
      </c>
      <c r="B25" s="5" t="s">
        <v>1456</v>
      </c>
      <c r="C25" s="5" t="s">
        <v>4965</v>
      </c>
      <c r="D25" s="5" t="s">
        <v>3720</v>
      </c>
      <c r="E25" s="5" t="s">
        <v>3728</v>
      </c>
      <c r="F25" s="5" t="s">
        <v>4944</v>
      </c>
      <c r="G25" s="5" t="s">
        <v>4963</v>
      </c>
      <c r="H25" s="5" t="s">
        <v>4941</v>
      </c>
      <c r="I25" s="5" t="s">
        <v>1517</v>
      </c>
      <c r="J25" s="5"/>
      <c r="K25" s="5"/>
    </row>
    <row r="26" spans="1:11" ht="50.1" customHeight="1" x14ac:dyDescent="0.2">
      <c r="A26" s="5" t="s">
        <v>4966</v>
      </c>
      <c r="B26" s="5" t="s">
        <v>1456</v>
      </c>
      <c r="C26" s="5" t="s">
        <v>4966</v>
      </c>
      <c r="D26" s="5" t="s">
        <v>3728</v>
      </c>
      <c r="E26" s="5" t="s">
        <v>3563</v>
      </c>
      <c r="F26" s="5" t="s">
        <v>4946</v>
      </c>
      <c r="G26" s="5" t="s">
        <v>4963</v>
      </c>
      <c r="H26" s="5" t="s">
        <v>4941</v>
      </c>
      <c r="I26" s="5" t="s">
        <v>1517</v>
      </c>
      <c r="J26" s="5"/>
      <c r="K26" s="5"/>
    </row>
    <row r="27" spans="1:11" ht="50.1" customHeight="1" x14ac:dyDescent="0.2">
      <c r="A27" s="5" t="s">
        <v>4967</v>
      </c>
      <c r="B27" s="5" t="s">
        <v>1456</v>
      </c>
      <c r="C27" s="5" t="s">
        <v>4967</v>
      </c>
      <c r="D27" s="5" t="s">
        <v>3736</v>
      </c>
      <c r="E27" s="5" t="s">
        <v>3740</v>
      </c>
      <c r="F27" s="5" t="s">
        <v>4939</v>
      </c>
      <c r="G27" s="5" t="s">
        <v>4968</v>
      </c>
      <c r="H27" s="5" t="s">
        <v>4941</v>
      </c>
      <c r="I27" s="5" t="s">
        <v>1517</v>
      </c>
      <c r="J27" s="5"/>
      <c r="K27" s="5"/>
    </row>
    <row r="28" spans="1:11" ht="50.1" customHeight="1" x14ac:dyDescent="0.2">
      <c r="A28" s="5" t="s">
        <v>4969</v>
      </c>
      <c r="B28" s="5" t="s">
        <v>1456</v>
      </c>
      <c r="C28" s="5" t="s">
        <v>4969</v>
      </c>
      <c r="D28" s="5" t="s">
        <v>3740</v>
      </c>
      <c r="E28" s="5" t="s">
        <v>3760</v>
      </c>
      <c r="F28" s="5" t="s">
        <v>1493</v>
      </c>
      <c r="G28" s="5" t="s">
        <v>4968</v>
      </c>
      <c r="H28" s="5" t="s">
        <v>4941</v>
      </c>
      <c r="I28" s="5" t="s">
        <v>1517</v>
      </c>
      <c r="J28" s="5"/>
      <c r="K28" s="5"/>
    </row>
    <row r="29" spans="1:11" ht="50.1" customHeight="1" x14ac:dyDescent="0.2">
      <c r="A29" s="5" t="s">
        <v>4970</v>
      </c>
      <c r="B29" s="5" t="s">
        <v>1456</v>
      </c>
      <c r="C29" s="5" t="s">
        <v>4970</v>
      </c>
      <c r="D29" s="5" t="s">
        <v>3752</v>
      </c>
      <c r="E29" s="5" t="s">
        <v>3760</v>
      </c>
      <c r="F29" s="5" t="s">
        <v>4944</v>
      </c>
      <c r="G29" s="5" t="s">
        <v>4968</v>
      </c>
      <c r="H29" s="5" t="s">
        <v>4941</v>
      </c>
      <c r="I29" s="5" t="s">
        <v>1517</v>
      </c>
      <c r="J29" s="5"/>
      <c r="K29" s="5"/>
    </row>
    <row r="30" spans="1:11" ht="50.1" customHeight="1" x14ac:dyDescent="0.2">
      <c r="A30" s="5" t="s">
        <v>4971</v>
      </c>
      <c r="B30" s="5" t="s">
        <v>1456</v>
      </c>
      <c r="C30" s="5" t="s">
        <v>4971</v>
      </c>
      <c r="D30" s="5" t="s">
        <v>3760</v>
      </c>
      <c r="E30" s="5" t="s">
        <v>3563</v>
      </c>
      <c r="F30" s="5" t="s">
        <v>4946</v>
      </c>
      <c r="G30" s="5" t="s">
        <v>4968</v>
      </c>
      <c r="H30" s="5" t="s">
        <v>4941</v>
      </c>
      <c r="I30" s="5" t="s">
        <v>1517</v>
      </c>
      <c r="J30" s="5"/>
      <c r="K30" s="5"/>
    </row>
    <row r="31" spans="1:11" ht="50.1" customHeight="1" x14ac:dyDescent="0.2">
      <c r="A31" s="5" t="s">
        <v>4972</v>
      </c>
      <c r="B31" s="5" t="s">
        <v>1456</v>
      </c>
      <c r="C31" s="5" t="s">
        <v>4972</v>
      </c>
      <c r="D31" s="5" t="s">
        <v>3768</v>
      </c>
      <c r="E31" s="5" t="s">
        <v>3772</v>
      </c>
      <c r="F31" s="5" t="s">
        <v>4939</v>
      </c>
      <c r="G31" s="5" t="s">
        <v>4973</v>
      </c>
      <c r="H31" s="5" t="s">
        <v>4941</v>
      </c>
      <c r="I31" s="5" t="s">
        <v>1517</v>
      </c>
      <c r="J31" s="5"/>
      <c r="K31" s="5"/>
    </row>
    <row r="32" spans="1:11" ht="50.1" customHeight="1" x14ac:dyDescent="0.2">
      <c r="A32" s="5" t="s">
        <v>4974</v>
      </c>
      <c r="B32" s="5" t="s">
        <v>1456</v>
      </c>
      <c r="C32" s="5" t="s">
        <v>4974</v>
      </c>
      <c r="D32" s="5" t="s">
        <v>3772</v>
      </c>
      <c r="E32" s="5" t="s">
        <v>3792</v>
      </c>
      <c r="F32" s="5" t="s">
        <v>1493</v>
      </c>
      <c r="G32" s="5" t="s">
        <v>4973</v>
      </c>
      <c r="H32" s="5" t="s">
        <v>4941</v>
      </c>
      <c r="I32" s="5" t="s">
        <v>1517</v>
      </c>
      <c r="J32" s="5"/>
      <c r="K32" s="5"/>
    </row>
    <row r="33" spans="1:11" ht="50.1" customHeight="1" x14ac:dyDescent="0.2">
      <c r="A33" s="5" t="s">
        <v>4975</v>
      </c>
      <c r="B33" s="5" t="s">
        <v>1456</v>
      </c>
      <c r="C33" s="5" t="s">
        <v>4975</v>
      </c>
      <c r="D33" s="5" t="s">
        <v>3784</v>
      </c>
      <c r="E33" s="5" t="s">
        <v>3792</v>
      </c>
      <c r="F33" s="5" t="s">
        <v>4944</v>
      </c>
      <c r="G33" s="5" t="s">
        <v>4973</v>
      </c>
      <c r="H33" s="5" t="s">
        <v>4941</v>
      </c>
      <c r="I33" s="5" t="s">
        <v>1517</v>
      </c>
      <c r="J33" s="5"/>
      <c r="K33" s="5"/>
    </row>
    <row r="34" spans="1:11" ht="50.1" customHeight="1" x14ac:dyDescent="0.2">
      <c r="A34" s="5" t="s">
        <v>4976</v>
      </c>
      <c r="B34" s="5" t="s">
        <v>1456</v>
      </c>
      <c r="C34" s="5" t="s">
        <v>4976</v>
      </c>
      <c r="D34" s="5" t="s">
        <v>3792</v>
      </c>
      <c r="E34" s="5" t="s">
        <v>3563</v>
      </c>
      <c r="F34" s="5" t="s">
        <v>4946</v>
      </c>
      <c r="G34" s="5" t="s">
        <v>4973</v>
      </c>
      <c r="H34" s="5" t="s">
        <v>4941</v>
      </c>
      <c r="I34" s="5" t="s">
        <v>1517</v>
      </c>
      <c r="J34" s="5"/>
      <c r="K34" s="5"/>
    </row>
    <row r="35" spans="1:11" ht="50.1" customHeight="1" x14ac:dyDescent="0.2">
      <c r="A35" s="5" t="s">
        <v>4977</v>
      </c>
      <c r="B35" s="5" t="s">
        <v>1456</v>
      </c>
      <c r="C35" s="5" t="s">
        <v>4977</v>
      </c>
      <c r="D35" s="5" t="s">
        <v>3800</v>
      </c>
      <c r="E35" s="5" t="s">
        <v>3804</v>
      </c>
      <c r="F35" s="5" t="s">
        <v>4939</v>
      </c>
      <c r="G35" s="5" t="s">
        <v>4978</v>
      </c>
      <c r="H35" s="5" t="s">
        <v>4941</v>
      </c>
      <c r="I35" s="5" t="s">
        <v>1517</v>
      </c>
      <c r="J35" s="5"/>
      <c r="K35" s="5"/>
    </row>
    <row r="36" spans="1:11" ht="50.1" customHeight="1" x14ac:dyDescent="0.2">
      <c r="A36" s="5" t="s">
        <v>4979</v>
      </c>
      <c r="B36" s="5" t="s">
        <v>1456</v>
      </c>
      <c r="C36" s="5" t="s">
        <v>4979</v>
      </c>
      <c r="D36" s="5" t="s">
        <v>3804</v>
      </c>
      <c r="E36" s="5" t="s">
        <v>3824</v>
      </c>
      <c r="F36" s="5" t="s">
        <v>1493</v>
      </c>
      <c r="G36" s="5" t="s">
        <v>4978</v>
      </c>
      <c r="H36" s="5" t="s">
        <v>4941</v>
      </c>
      <c r="I36" s="5" t="s">
        <v>1517</v>
      </c>
      <c r="J36" s="5"/>
      <c r="K36" s="5"/>
    </row>
    <row r="37" spans="1:11" ht="50.1" customHeight="1" x14ac:dyDescent="0.2">
      <c r="A37" s="5" t="s">
        <v>4980</v>
      </c>
      <c r="B37" s="5" t="s">
        <v>1456</v>
      </c>
      <c r="C37" s="5" t="s">
        <v>4980</v>
      </c>
      <c r="D37" s="5" t="s">
        <v>3816</v>
      </c>
      <c r="E37" s="5" t="s">
        <v>3824</v>
      </c>
      <c r="F37" s="5" t="s">
        <v>4944</v>
      </c>
      <c r="G37" s="5" t="s">
        <v>4978</v>
      </c>
      <c r="H37" s="5" t="s">
        <v>4941</v>
      </c>
      <c r="I37" s="5" t="s">
        <v>1517</v>
      </c>
      <c r="J37" s="5"/>
      <c r="K37" s="5"/>
    </row>
    <row r="38" spans="1:11" ht="50.1" customHeight="1" x14ac:dyDescent="0.2">
      <c r="A38" s="5" t="s">
        <v>4981</v>
      </c>
      <c r="B38" s="5" t="s">
        <v>1456</v>
      </c>
      <c r="C38" s="5" t="s">
        <v>4981</v>
      </c>
      <c r="D38" s="5" t="s">
        <v>3824</v>
      </c>
      <c r="E38" s="5" t="s">
        <v>3563</v>
      </c>
      <c r="F38" s="5" t="s">
        <v>4946</v>
      </c>
      <c r="G38" s="5" t="s">
        <v>4978</v>
      </c>
      <c r="H38" s="5" t="s">
        <v>4941</v>
      </c>
      <c r="I38" s="5" t="s">
        <v>1517</v>
      </c>
      <c r="J38" s="5"/>
      <c r="K38" s="5"/>
    </row>
    <row r="39" spans="1:11" ht="50.1" customHeight="1" x14ac:dyDescent="0.2">
      <c r="A39" s="5" t="s">
        <v>4982</v>
      </c>
      <c r="B39" s="5" t="s">
        <v>264</v>
      </c>
      <c r="C39" s="5" t="s">
        <v>4982</v>
      </c>
      <c r="D39" s="5" t="s">
        <v>3898</v>
      </c>
      <c r="E39" s="5" t="s">
        <v>4018</v>
      </c>
      <c r="F39" s="5" t="s">
        <v>1493</v>
      </c>
      <c r="G39" s="5" t="s">
        <v>4983</v>
      </c>
      <c r="H39" s="5" t="s">
        <v>4984</v>
      </c>
      <c r="I39" s="5" t="s">
        <v>1517</v>
      </c>
      <c r="J39" s="5"/>
      <c r="K39" s="5"/>
    </row>
    <row r="40" spans="1:11" ht="50.1" customHeight="1" x14ac:dyDescent="0.2">
      <c r="A40" s="5" t="s">
        <v>4985</v>
      </c>
      <c r="B40" s="5" t="s">
        <v>264</v>
      </c>
      <c r="C40" s="5" t="s">
        <v>4985</v>
      </c>
      <c r="D40" s="5" t="s">
        <v>3898</v>
      </c>
      <c r="E40" s="5" t="s">
        <v>4026</v>
      </c>
      <c r="F40" s="5" t="s">
        <v>1493</v>
      </c>
      <c r="G40" s="5" t="s">
        <v>4983</v>
      </c>
      <c r="H40" s="5" t="s">
        <v>4984</v>
      </c>
      <c r="I40" s="5" t="s">
        <v>1517</v>
      </c>
      <c r="J40" s="5"/>
      <c r="K40" s="5"/>
    </row>
    <row r="41" spans="1:11" ht="50.1" customHeight="1" x14ac:dyDescent="0.2">
      <c r="A41" s="5" t="s">
        <v>4986</v>
      </c>
      <c r="B41" s="5" t="s">
        <v>264</v>
      </c>
      <c r="C41" s="5" t="s">
        <v>4986</v>
      </c>
      <c r="D41" s="5" t="s">
        <v>3898</v>
      </c>
      <c r="E41" s="5" t="s">
        <v>4034</v>
      </c>
      <c r="F41" s="5" t="s">
        <v>1493</v>
      </c>
      <c r="G41" s="5" t="s">
        <v>4983</v>
      </c>
      <c r="H41" s="5" t="s">
        <v>4984</v>
      </c>
      <c r="I41" s="5" t="s">
        <v>1517</v>
      </c>
      <c r="J41" s="5"/>
      <c r="K41" s="5"/>
    </row>
    <row r="42" spans="1:11" ht="50.1" customHeight="1" x14ac:dyDescent="0.2">
      <c r="A42" s="5" t="s">
        <v>4987</v>
      </c>
      <c r="B42" s="5" t="s">
        <v>264</v>
      </c>
      <c r="C42" s="5" t="s">
        <v>4987</v>
      </c>
      <c r="D42" s="5" t="s">
        <v>3898</v>
      </c>
      <c r="E42" s="5" t="s">
        <v>4042</v>
      </c>
      <c r="F42" s="5" t="s">
        <v>1493</v>
      </c>
      <c r="G42" s="5" t="s">
        <v>4983</v>
      </c>
      <c r="H42" s="5" t="s">
        <v>4984</v>
      </c>
      <c r="I42" s="5" t="s">
        <v>1517</v>
      </c>
      <c r="J42" s="5"/>
      <c r="K42" s="5"/>
    </row>
    <row r="43" spans="1:11" ht="50.1" customHeight="1" x14ac:dyDescent="0.2">
      <c r="A43" s="5" t="s">
        <v>4988</v>
      </c>
      <c r="B43" s="5" t="s">
        <v>264</v>
      </c>
      <c r="C43" s="5" t="s">
        <v>4988</v>
      </c>
      <c r="D43" s="5" t="s">
        <v>3898</v>
      </c>
      <c r="E43" s="5" t="s">
        <v>4050</v>
      </c>
      <c r="F43" s="5" t="s">
        <v>1493</v>
      </c>
      <c r="G43" s="5" t="s">
        <v>4983</v>
      </c>
      <c r="H43" s="5" t="s">
        <v>4984</v>
      </c>
      <c r="I43" s="5" t="s">
        <v>1517</v>
      </c>
      <c r="J43" s="5"/>
      <c r="K43" s="5"/>
    </row>
    <row r="44" spans="1:11" ht="50.1" customHeight="1" x14ac:dyDescent="0.2">
      <c r="A44" s="5" t="s">
        <v>4989</v>
      </c>
      <c r="B44" s="5" t="s">
        <v>264</v>
      </c>
      <c r="C44" s="5" t="s">
        <v>4989</v>
      </c>
      <c r="D44" s="5" t="s">
        <v>3898</v>
      </c>
      <c r="E44" s="5" t="s">
        <v>4058</v>
      </c>
      <c r="F44" s="5" t="s">
        <v>1493</v>
      </c>
      <c r="G44" s="5" t="s">
        <v>4983</v>
      </c>
      <c r="H44" s="5" t="s">
        <v>4984</v>
      </c>
      <c r="I44" s="5" t="s">
        <v>1517</v>
      </c>
      <c r="J44" s="5"/>
      <c r="K44" s="5"/>
    </row>
    <row r="45" spans="1:11" ht="50.1" customHeight="1" x14ac:dyDescent="0.2">
      <c r="A45" s="5" t="s">
        <v>4990</v>
      </c>
      <c r="B45" s="5" t="s">
        <v>264</v>
      </c>
      <c r="C45" s="5" t="s">
        <v>4990</v>
      </c>
      <c r="D45" s="5" t="s">
        <v>3898</v>
      </c>
      <c r="E45" s="5" t="s">
        <v>4066</v>
      </c>
      <c r="F45" s="5" t="s">
        <v>1493</v>
      </c>
      <c r="G45" s="5" t="s">
        <v>4983</v>
      </c>
      <c r="H45" s="5" t="s">
        <v>4984</v>
      </c>
      <c r="I45" s="5" t="s">
        <v>1517</v>
      </c>
      <c r="J45" s="5"/>
      <c r="K45" s="5"/>
    </row>
    <row r="46" spans="1:11" ht="50.1" customHeight="1" x14ac:dyDescent="0.2">
      <c r="A46" s="5" t="s">
        <v>4991</v>
      </c>
      <c r="B46" s="5" t="s">
        <v>4992</v>
      </c>
      <c r="C46" s="5" t="s">
        <v>4993</v>
      </c>
      <c r="D46" s="5" t="s">
        <v>4002</v>
      </c>
      <c r="E46" s="5" t="s">
        <v>4087</v>
      </c>
      <c r="F46" s="5" t="s">
        <v>1493</v>
      </c>
      <c r="G46" s="5" t="s">
        <v>4994</v>
      </c>
      <c r="H46" s="5" t="s">
        <v>4995</v>
      </c>
      <c r="I46" s="5" t="s">
        <v>1517</v>
      </c>
      <c r="J46" s="5"/>
      <c r="K46" s="5"/>
    </row>
    <row r="47" spans="1:11" ht="50.1" customHeight="1" x14ac:dyDescent="0.2">
      <c r="A47" s="5" t="s">
        <v>4996</v>
      </c>
      <c r="B47" s="5" t="s">
        <v>4992</v>
      </c>
      <c r="C47" s="5" t="s">
        <v>4997</v>
      </c>
      <c r="D47" s="5" t="s">
        <v>4006</v>
      </c>
      <c r="E47" s="5" t="s">
        <v>4092</v>
      </c>
      <c r="F47" s="5" t="s">
        <v>1493</v>
      </c>
      <c r="G47" s="5" t="s">
        <v>4994</v>
      </c>
      <c r="H47" s="5" t="s">
        <v>4995</v>
      </c>
      <c r="I47" s="5" t="s">
        <v>1517</v>
      </c>
      <c r="J47" s="5"/>
      <c r="K47" s="5"/>
    </row>
    <row r="48" spans="1:11" ht="50.1" customHeight="1" x14ac:dyDescent="0.2">
      <c r="A48" s="5" t="s">
        <v>4998</v>
      </c>
      <c r="B48" s="5" t="s">
        <v>4992</v>
      </c>
      <c r="C48" s="5" t="s">
        <v>4999</v>
      </c>
      <c r="D48" s="5" t="s">
        <v>4014</v>
      </c>
      <c r="E48" s="5" t="s">
        <v>4096</v>
      </c>
      <c r="F48" s="5" t="s">
        <v>1493</v>
      </c>
      <c r="G48" s="5" t="s">
        <v>4994</v>
      </c>
      <c r="H48" s="5" t="s">
        <v>4995</v>
      </c>
      <c r="I48" s="5" t="s">
        <v>1517</v>
      </c>
      <c r="J48" s="5"/>
      <c r="K48" s="5"/>
    </row>
    <row r="49" spans="1:11" ht="50.1" customHeight="1" x14ac:dyDescent="0.2">
      <c r="A49" s="5" t="s">
        <v>5000</v>
      </c>
      <c r="B49" s="5" t="s">
        <v>5001</v>
      </c>
      <c r="C49" s="5" t="s">
        <v>5000</v>
      </c>
      <c r="D49" s="5" t="s">
        <v>4074</v>
      </c>
      <c r="E49" s="5" t="s">
        <v>4087</v>
      </c>
      <c r="F49" s="5" t="s">
        <v>4939</v>
      </c>
      <c r="G49" s="5" t="s">
        <v>5001</v>
      </c>
      <c r="H49" s="5" t="s">
        <v>5002</v>
      </c>
      <c r="I49" s="5" t="s">
        <v>1517</v>
      </c>
      <c r="J49" s="5"/>
      <c r="K49" s="5"/>
    </row>
    <row r="50" spans="1:11" ht="50.1" customHeight="1" x14ac:dyDescent="0.2">
      <c r="A50" s="5" t="s">
        <v>5003</v>
      </c>
      <c r="B50" s="5" t="s">
        <v>5004</v>
      </c>
      <c r="C50" s="5" t="s">
        <v>5003</v>
      </c>
      <c r="D50" s="5" t="s">
        <v>4087</v>
      </c>
      <c r="E50" s="5" t="s">
        <v>4092</v>
      </c>
      <c r="F50" s="5" t="s">
        <v>4939</v>
      </c>
      <c r="G50" s="5" t="s">
        <v>5004</v>
      </c>
      <c r="H50" s="5" t="s">
        <v>5002</v>
      </c>
      <c r="I50" s="5" t="s">
        <v>1517</v>
      </c>
      <c r="J50" s="5"/>
      <c r="K50" s="5"/>
    </row>
    <row r="51" spans="1:11" ht="50.1" customHeight="1" x14ac:dyDescent="0.2">
      <c r="A51" s="5" t="s">
        <v>5005</v>
      </c>
      <c r="B51" s="5" t="s">
        <v>5006</v>
      </c>
      <c r="C51" s="5" t="s">
        <v>5005</v>
      </c>
      <c r="D51" s="5" t="s">
        <v>4092</v>
      </c>
      <c r="E51" s="5" t="s">
        <v>4100</v>
      </c>
      <c r="F51" s="5" t="s">
        <v>4939</v>
      </c>
      <c r="G51" s="5" t="s">
        <v>5006</v>
      </c>
      <c r="H51" s="5" t="s">
        <v>5002</v>
      </c>
      <c r="I51" s="5" t="s">
        <v>1517</v>
      </c>
      <c r="J51" s="5"/>
      <c r="K51" s="5"/>
    </row>
    <row r="52" spans="1:11" ht="50.1" customHeight="1" x14ac:dyDescent="0.2">
      <c r="A52" s="5" t="s">
        <v>5007</v>
      </c>
      <c r="B52" s="5" t="s">
        <v>5008</v>
      </c>
      <c r="C52" s="5" t="s">
        <v>5009</v>
      </c>
      <c r="D52" s="5" t="s">
        <v>4018</v>
      </c>
      <c r="E52" s="5" t="s">
        <v>4096</v>
      </c>
      <c r="F52" s="5" t="s">
        <v>1493</v>
      </c>
      <c r="G52" s="5" t="s">
        <v>5010</v>
      </c>
      <c r="H52" s="5" t="s">
        <v>5011</v>
      </c>
      <c r="I52" s="5" t="s">
        <v>1517</v>
      </c>
      <c r="J52" s="5"/>
      <c r="K52" s="5"/>
    </row>
    <row r="53" spans="1:11" ht="50.1" customHeight="1" x14ac:dyDescent="0.2">
      <c r="A53" s="5" t="s">
        <v>5012</v>
      </c>
      <c r="B53" s="5" t="s">
        <v>5008</v>
      </c>
      <c r="C53" s="5" t="s">
        <v>5013</v>
      </c>
      <c r="D53" s="5" t="s">
        <v>4026</v>
      </c>
      <c r="E53" s="5" t="s">
        <v>4096</v>
      </c>
      <c r="F53" s="5" t="s">
        <v>1493</v>
      </c>
      <c r="G53" s="5" t="s">
        <v>5014</v>
      </c>
      <c r="H53" s="5" t="s">
        <v>5011</v>
      </c>
      <c r="I53" s="5" t="s">
        <v>1517</v>
      </c>
      <c r="J53" s="5"/>
      <c r="K53" s="5"/>
    </row>
    <row r="54" spans="1:11" ht="50.1" customHeight="1" x14ac:dyDescent="0.2">
      <c r="A54" s="5" t="s">
        <v>5015</v>
      </c>
      <c r="B54" s="5" t="s">
        <v>5008</v>
      </c>
      <c r="C54" s="5" t="s">
        <v>5016</v>
      </c>
      <c r="D54" s="5" t="s">
        <v>4034</v>
      </c>
      <c r="E54" s="5" t="s">
        <v>4096</v>
      </c>
      <c r="F54" s="5" t="s">
        <v>1493</v>
      </c>
      <c r="G54" s="5" t="s">
        <v>5017</v>
      </c>
      <c r="H54" s="5" t="s">
        <v>5011</v>
      </c>
      <c r="I54" s="5" t="s">
        <v>1517</v>
      </c>
      <c r="J54" s="5"/>
      <c r="K54" s="5"/>
    </row>
    <row r="55" spans="1:11" ht="50.1" customHeight="1" x14ac:dyDescent="0.2">
      <c r="A55" s="5" t="s">
        <v>5018</v>
      </c>
      <c r="B55" s="5" t="s">
        <v>5008</v>
      </c>
      <c r="C55" s="5" t="s">
        <v>5019</v>
      </c>
      <c r="D55" s="5" t="s">
        <v>4042</v>
      </c>
      <c r="E55" s="5" t="s">
        <v>4096</v>
      </c>
      <c r="F55" s="5" t="s">
        <v>1493</v>
      </c>
      <c r="G55" s="5" t="s">
        <v>5020</v>
      </c>
      <c r="H55" s="5" t="s">
        <v>5011</v>
      </c>
      <c r="I55" s="5" t="s">
        <v>1517</v>
      </c>
      <c r="J55" s="5"/>
      <c r="K55" s="5"/>
    </row>
    <row r="56" spans="1:11" ht="50.1" customHeight="1" x14ac:dyDescent="0.2">
      <c r="A56" s="5" t="s">
        <v>5021</v>
      </c>
      <c r="B56" s="5" t="s">
        <v>5008</v>
      </c>
      <c r="C56" s="5" t="s">
        <v>5022</v>
      </c>
      <c r="D56" s="5" t="s">
        <v>4050</v>
      </c>
      <c r="E56" s="5" t="s">
        <v>4096</v>
      </c>
      <c r="F56" s="5" t="s">
        <v>1493</v>
      </c>
      <c r="G56" s="5" t="s">
        <v>5023</v>
      </c>
      <c r="H56" s="5" t="s">
        <v>5011</v>
      </c>
      <c r="I56" s="5" t="s">
        <v>1517</v>
      </c>
      <c r="J56" s="5"/>
      <c r="K56" s="5"/>
    </row>
    <row r="57" spans="1:11" ht="50.1" customHeight="1" x14ac:dyDescent="0.2">
      <c r="A57" s="5" t="s">
        <v>5024</v>
      </c>
      <c r="B57" s="5" t="s">
        <v>5008</v>
      </c>
      <c r="C57" s="5" t="s">
        <v>5025</v>
      </c>
      <c r="D57" s="5" t="s">
        <v>4058</v>
      </c>
      <c r="E57" s="5" t="s">
        <v>4096</v>
      </c>
      <c r="F57" s="5" t="s">
        <v>1493</v>
      </c>
      <c r="G57" s="5" t="s">
        <v>5026</v>
      </c>
      <c r="H57" s="5" t="s">
        <v>5011</v>
      </c>
      <c r="I57" s="5" t="s">
        <v>1517</v>
      </c>
      <c r="J57" s="5"/>
      <c r="K57" s="5"/>
    </row>
    <row r="58" spans="1:11" ht="50.1" customHeight="1" x14ac:dyDescent="0.2">
      <c r="A58" s="5" t="s">
        <v>5027</v>
      </c>
      <c r="B58" s="5" t="s">
        <v>5008</v>
      </c>
      <c r="C58" s="5" t="s">
        <v>5028</v>
      </c>
      <c r="D58" s="5" t="s">
        <v>4066</v>
      </c>
      <c r="E58" s="5" t="s">
        <v>4096</v>
      </c>
      <c r="F58" s="5" t="s">
        <v>1493</v>
      </c>
      <c r="G58" s="5" t="s">
        <v>5029</v>
      </c>
      <c r="H58" s="5" t="s">
        <v>5011</v>
      </c>
      <c r="I58" s="5" t="s">
        <v>1517</v>
      </c>
      <c r="J58" s="5"/>
      <c r="K58" s="5"/>
    </row>
    <row r="59" spans="1:11" ht="50.1" customHeight="1" x14ac:dyDescent="0.2">
      <c r="A59" s="5" t="s">
        <v>5030</v>
      </c>
      <c r="B59" s="5" t="s">
        <v>5031</v>
      </c>
      <c r="C59" s="5" t="s">
        <v>5032</v>
      </c>
      <c r="D59" s="5" t="s">
        <v>4113</v>
      </c>
      <c r="E59" s="5" t="s">
        <v>4118</v>
      </c>
      <c r="F59" s="5" t="s">
        <v>4939</v>
      </c>
      <c r="G59" s="5" t="s">
        <v>5030</v>
      </c>
      <c r="H59" s="5" t="s">
        <v>5033</v>
      </c>
      <c r="I59" s="5" t="s">
        <v>1517</v>
      </c>
      <c r="J59" s="5"/>
      <c r="K59" s="5"/>
    </row>
    <row r="60" spans="1:11" ht="50.1" customHeight="1" x14ac:dyDescent="0.2">
      <c r="A60" s="5" t="s">
        <v>5034</v>
      </c>
      <c r="B60" s="5" t="s">
        <v>5031</v>
      </c>
      <c r="C60" s="5" t="s">
        <v>5035</v>
      </c>
      <c r="D60" s="5" t="s">
        <v>4022</v>
      </c>
      <c r="E60" s="5" t="s">
        <v>4122</v>
      </c>
      <c r="F60" s="5" t="s">
        <v>1493</v>
      </c>
      <c r="G60" s="5" t="s">
        <v>5034</v>
      </c>
      <c r="H60" s="5" t="s">
        <v>5033</v>
      </c>
      <c r="I60" s="5" t="s">
        <v>1517</v>
      </c>
      <c r="J60" s="5"/>
      <c r="K60" s="5"/>
    </row>
    <row r="61" spans="1:11" ht="50.1" customHeight="1" x14ac:dyDescent="0.2">
      <c r="A61" s="5" t="s">
        <v>5036</v>
      </c>
      <c r="B61" s="5" t="s">
        <v>5031</v>
      </c>
      <c r="C61" s="5" t="s">
        <v>5037</v>
      </c>
      <c r="D61" s="5" t="s">
        <v>4018</v>
      </c>
      <c r="E61" s="5" t="s">
        <v>4125</v>
      </c>
      <c r="F61" s="5" t="s">
        <v>1493</v>
      </c>
      <c r="G61" s="5" t="s">
        <v>5036</v>
      </c>
      <c r="H61" s="5" t="s">
        <v>5033</v>
      </c>
      <c r="I61" s="5" t="s">
        <v>1517</v>
      </c>
      <c r="J61" s="5"/>
      <c r="K61" s="5"/>
    </row>
    <row r="62" spans="1:11" ht="50.1" customHeight="1" x14ac:dyDescent="0.2">
      <c r="A62" s="5" t="s">
        <v>5038</v>
      </c>
      <c r="B62" s="5" t="s">
        <v>5031</v>
      </c>
      <c r="C62" s="5" t="s">
        <v>5039</v>
      </c>
      <c r="D62" s="5" t="s">
        <v>4087</v>
      </c>
      <c r="E62" s="5" t="s">
        <v>4113</v>
      </c>
      <c r="F62" s="5" t="s">
        <v>4944</v>
      </c>
      <c r="G62" s="5" t="s">
        <v>5038</v>
      </c>
      <c r="H62" s="5" t="s">
        <v>5033</v>
      </c>
      <c r="I62" s="5" t="s">
        <v>1517</v>
      </c>
      <c r="J62" s="5"/>
      <c r="K62" s="5"/>
    </row>
    <row r="63" spans="1:11" ht="50.1" customHeight="1" x14ac:dyDescent="0.2">
      <c r="A63" s="5" t="s">
        <v>5040</v>
      </c>
      <c r="B63" s="5" t="s">
        <v>5031</v>
      </c>
      <c r="C63" s="5" t="s">
        <v>5041</v>
      </c>
      <c r="D63" s="5" t="s">
        <v>4092</v>
      </c>
      <c r="E63" s="5" t="s">
        <v>4113</v>
      </c>
      <c r="F63" s="5" t="s">
        <v>4944</v>
      </c>
      <c r="G63" s="5" t="s">
        <v>5040</v>
      </c>
      <c r="H63" s="5" t="s">
        <v>5033</v>
      </c>
      <c r="I63" s="5" t="s">
        <v>1517</v>
      </c>
      <c r="J63" s="5"/>
      <c r="K63" s="5"/>
    </row>
    <row r="64" spans="1:11" ht="50.1" customHeight="1" x14ac:dyDescent="0.2">
      <c r="A64" s="5" t="s">
        <v>5042</v>
      </c>
      <c r="B64" s="5" t="s">
        <v>5031</v>
      </c>
      <c r="C64" s="5" t="s">
        <v>5043</v>
      </c>
      <c r="D64" s="5" t="s">
        <v>4082</v>
      </c>
      <c r="E64" s="5" t="s">
        <v>4113</v>
      </c>
      <c r="F64" s="5" t="s">
        <v>4944</v>
      </c>
      <c r="G64" s="5" t="s">
        <v>5042</v>
      </c>
      <c r="H64" s="5" t="s">
        <v>5033</v>
      </c>
      <c r="I64" s="5" t="s">
        <v>1517</v>
      </c>
      <c r="J64" s="5"/>
      <c r="K64" s="5"/>
    </row>
    <row r="65" spans="1:11" ht="50.1" customHeight="1" x14ac:dyDescent="0.2">
      <c r="A65" s="5" t="s">
        <v>5044</v>
      </c>
      <c r="B65" s="5" t="s">
        <v>5031</v>
      </c>
      <c r="C65" s="5" t="s">
        <v>5045</v>
      </c>
      <c r="D65" s="5" t="s">
        <v>4096</v>
      </c>
      <c r="E65" s="5" t="s">
        <v>4113</v>
      </c>
      <c r="F65" s="5" t="s">
        <v>4944</v>
      </c>
      <c r="G65" s="5" t="s">
        <v>5044</v>
      </c>
      <c r="H65" s="5" t="s">
        <v>5033</v>
      </c>
      <c r="I65" s="5" t="s">
        <v>1517</v>
      </c>
      <c r="J65" s="5"/>
      <c r="K65" s="5"/>
    </row>
    <row r="66" spans="1:11" ht="50.1" customHeight="1" x14ac:dyDescent="0.2">
      <c r="A66" s="5" t="s">
        <v>5046</v>
      </c>
      <c r="B66" s="5" t="s">
        <v>5031</v>
      </c>
      <c r="C66" s="5" t="s">
        <v>5047</v>
      </c>
      <c r="D66" s="5" t="s">
        <v>4122</v>
      </c>
      <c r="E66" s="5" t="s">
        <v>4113</v>
      </c>
      <c r="F66" s="5" t="s">
        <v>4939</v>
      </c>
      <c r="G66" s="5" t="s">
        <v>5046</v>
      </c>
      <c r="H66" s="5" t="s">
        <v>5033</v>
      </c>
      <c r="I66" s="5" t="s">
        <v>1517</v>
      </c>
      <c r="J66" s="5"/>
      <c r="K66" s="5"/>
    </row>
    <row r="67" spans="1:11" ht="50.1" customHeight="1" x14ac:dyDescent="0.2">
      <c r="A67" s="5" t="s">
        <v>5048</v>
      </c>
      <c r="B67" s="5" t="s">
        <v>5031</v>
      </c>
      <c r="C67" s="5" t="s">
        <v>5049</v>
      </c>
      <c r="D67" s="5" t="s">
        <v>4118</v>
      </c>
      <c r="E67" s="5" t="s">
        <v>4125</v>
      </c>
      <c r="F67" s="5" t="s">
        <v>4944</v>
      </c>
      <c r="G67" s="5" t="s">
        <v>5048</v>
      </c>
      <c r="H67" s="5" t="s">
        <v>5033</v>
      </c>
      <c r="I67" s="5" t="s">
        <v>1517</v>
      </c>
      <c r="J67" s="5"/>
      <c r="K67" s="5"/>
    </row>
    <row r="68" spans="1:11" ht="50.1" customHeight="1" x14ac:dyDescent="0.2">
      <c r="A68" s="5" t="s">
        <v>5050</v>
      </c>
      <c r="B68" s="5" t="s">
        <v>5031</v>
      </c>
      <c r="C68" s="5" t="s">
        <v>5051</v>
      </c>
      <c r="D68" s="5" t="s">
        <v>4113</v>
      </c>
      <c r="E68" s="5" t="s">
        <v>4125</v>
      </c>
      <c r="F68" s="5" t="s">
        <v>4944</v>
      </c>
      <c r="G68" s="5" t="s">
        <v>5050</v>
      </c>
      <c r="H68" s="5" t="s">
        <v>5033</v>
      </c>
      <c r="I68" s="5" t="s">
        <v>1517</v>
      </c>
      <c r="J68" s="5"/>
      <c r="K68" s="5"/>
    </row>
    <row r="69" spans="1:11" ht="50.1" customHeight="1" x14ac:dyDescent="0.2">
      <c r="A69" s="5" t="s">
        <v>5052</v>
      </c>
      <c r="B69" s="5" t="s">
        <v>5031</v>
      </c>
      <c r="C69" s="5" t="s">
        <v>5053</v>
      </c>
      <c r="D69" s="5" t="s">
        <v>4122</v>
      </c>
      <c r="E69" s="5" t="s">
        <v>4125</v>
      </c>
      <c r="F69" s="5" t="s">
        <v>4944</v>
      </c>
      <c r="G69" s="5" t="s">
        <v>5052</v>
      </c>
      <c r="H69" s="5" t="s">
        <v>5033</v>
      </c>
      <c r="I69" s="5" t="s">
        <v>1517</v>
      </c>
      <c r="J69" s="5"/>
      <c r="K69" s="5"/>
    </row>
    <row r="70" spans="1:11" ht="50.1" customHeight="1" x14ac:dyDescent="0.2">
      <c r="A70" s="5" t="s">
        <v>5054</v>
      </c>
      <c r="B70" s="5" t="s">
        <v>5031</v>
      </c>
      <c r="C70" s="5" t="s">
        <v>5055</v>
      </c>
      <c r="D70" s="5" t="s">
        <v>4125</v>
      </c>
      <c r="E70" s="5" t="s">
        <v>4129</v>
      </c>
      <c r="F70" s="5" t="s">
        <v>4946</v>
      </c>
      <c r="G70" s="5" t="s">
        <v>5054</v>
      </c>
      <c r="H70" s="5" t="s">
        <v>5033</v>
      </c>
      <c r="I70" s="5" t="s">
        <v>1517</v>
      </c>
      <c r="J70" s="5"/>
      <c r="K70" s="5"/>
    </row>
    <row r="71" spans="1:11" ht="50.1" customHeight="1" x14ac:dyDescent="0.2">
      <c r="A71" s="5" t="s">
        <v>5030</v>
      </c>
      <c r="B71" s="5" t="s">
        <v>5031</v>
      </c>
      <c r="C71" s="5" t="s">
        <v>5056</v>
      </c>
      <c r="D71" s="5" t="s">
        <v>4133</v>
      </c>
      <c r="E71" s="5" t="s">
        <v>4137</v>
      </c>
      <c r="F71" s="5" t="s">
        <v>4939</v>
      </c>
      <c r="G71" s="5" t="s">
        <v>5030</v>
      </c>
      <c r="H71" s="5" t="s">
        <v>5033</v>
      </c>
      <c r="I71" s="5" t="s">
        <v>1517</v>
      </c>
      <c r="J71" s="5"/>
      <c r="K71" s="5"/>
    </row>
    <row r="72" spans="1:11" ht="50.1" customHeight="1" x14ac:dyDescent="0.2">
      <c r="A72" s="5" t="s">
        <v>5034</v>
      </c>
      <c r="B72" s="5" t="s">
        <v>5031</v>
      </c>
      <c r="C72" s="5" t="s">
        <v>5057</v>
      </c>
      <c r="D72" s="5" t="s">
        <v>4038</v>
      </c>
      <c r="E72" s="5" t="s">
        <v>4141</v>
      </c>
      <c r="F72" s="5" t="s">
        <v>1493</v>
      </c>
      <c r="G72" s="5" t="s">
        <v>5034</v>
      </c>
      <c r="H72" s="5" t="s">
        <v>5033</v>
      </c>
      <c r="I72" s="5" t="s">
        <v>1517</v>
      </c>
      <c r="J72" s="5"/>
      <c r="K72" s="5"/>
    </row>
    <row r="73" spans="1:11" ht="50.1" customHeight="1" x14ac:dyDescent="0.2">
      <c r="A73" s="5" t="s">
        <v>5036</v>
      </c>
      <c r="B73" s="5" t="s">
        <v>5031</v>
      </c>
      <c r="C73" s="5" t="s">
        <v>5058</v>
      </c>
      <c r="D73" s="5" t="s">
        <v>4034</v>
      </c>
      <c r="E73" s="5" t="s">
        <v>4144</v>
      </c>
      <c r="F73" s="5" t="s">
        <v>1493</v>
      </c>
      <c r="G73" s="5" t="s">
        <v>5036</v>
      </c>
      <c r="H73" s="5" t="s">
        <v>5033</v>
      </c>
      <c r="I73" s="5" t="s">
        <v>1517</v>
      </c>
      <c r="J73" s="5"/>
      <c r="K73" s="5"/>
    </row>
    <row r="74" spans="1:11" ht="50.1" customHeight="1" x14ac:dyDescent="0.2">
      <c r="A74" s="5" t="s">
        <v>5059</v>
      </c>
      <c r="B74" s="5" t="s">
        <v>5031</v>
      </c>
      <c r="C74" s="5" t="s">
        <v>5060</v>
      </c>
      <c r="D74" s="5" t="s">
        <v>4074</v>
      </c>
      <c r="E74" s="5" t="s">
        <v>4133</v>
      </c>
      <c r="F74" s="5" t="s">
        <v>4944</v>
      </c>
      <c r="G74" s="5" t="s">
        <v>5059</v>
      </c>
      <c r="H74" s="5" t="s">
        <v>5033</v>
      </c>
      <c r="I74" s="5" t="s">
        <v>1517</v>
      </c>
      <c r="J74" s="5"/>
      <c r="K74" s="5"/>
    </row>
    <row r="75" spans="1:11" ht="50.1" customHeight="1" x14ac:dyDescent="0.2">
      <c r="A75" s="5" t="s">
        <v>5061</v>
      </c>
      <c r="B75" s="5" t="s">
        <v>5031</v>
      </c>
      <c r="C75" s="5" t="s">
        <v>5062</v>
      </c>
      <c r="D75" s="5" t="s">
        <v>4078</v>
      </c>
      <c r="E75" s="5" t="s">
        <v>4133</v>
      </c>
      <c r="F75" s="5" t="s">
        <v>4944</v>
      </c>
      <c r="G75" s="5" t="s">
        <v>5061</v>
      </c>
      <c r="H75" s="5" t="s">
        <v>5033</v>
      </c>
      <c r="I75" s="5" t="s">
        <v>1517</v>
      </c>
      <c r="J75" s="5"/>
      <c r="K75" s="5"/>
    </row>
    <row r="76" spans="1:11" ht="50.1" customHeight="1" x14ac:dyDescent="0.2">
      <c r="A76" s="5" t="s">
        <v>5038</v>
      </c>
      <c r="B76" s="5" t="s">
        <v>5031</v>
      </c>
      <c r="C76" s="5" t="s">
        <v>5063</v>
      </c>
      <c r="D76" s="5" t="s">
        <v>4087</v>
      </c>
      <c r="E76" s="5" t="s">
        <v>4133</v>
      </c>
      <c r="F76" s="5" t="s">
        <v>4944</v>
      </c>
      <c r="G76" s="5" t="s">
        <v>5038</v>
      </c>
      <c r="H76" s="5" t="s">
        <v>5033</v>
      </c>
      <c r="I76" s="5" t="s">
        <v>1517</v>
      </c>
      <c r="J76" s="5"/>
      <c r="K76" s="5"/>
    </row>
    <row r="77" spans="1:11" ht="50.1" customHeight="1" x14ac:dyDescent="0.2">
      <c r="A77" s="5" t="s">
        <v>5040</v>
      </c>
      <c r="B77" s="5" t="s">
        <v>5031</v>
      </c>
      <c r="C77" s="5" t="s">
        <v>5064</v>
      </c>
      <c r="D77" s="5" t="s">
        <v>4092</v>
      </c>
      <c r="E77" s="5" t="s">
        <v>4133</v>
      </c>
      <c r="F77" s="5" t="s">
        <v>4944</v>
      </c>
      <c r="G77" s="5" t="s">
        <v>5040</v>
      </c>
      <c r="H77" s="5" t="s">
        <v>5033</v>
      </c>
      <c r="I77" s="5" t="s">
        <v>1517</v>
      </c>
      <c r="J77" s="5"/>
      <c r="K77" s="5"/>
    </row>
    <row r="78" spans="1:11" ht="50.1" customHeight="1" x14ac:dyDescent="0.2">
      <c r="A78" s="5" t="s">
        <v>5042</v>
      </c>
      <c r="B78" s="5" t="s">
        <v>5031</v>
      </c>
      <c r="C78" s="5" t="s">
        <v>5065</v>
      </c>
      <c r="D78" s="5" t="s">
        <v>4082</v>
      </c>
      <c r="E78" s="5" t="s">
        <v>4133</v>
      </c>
      <c r="F78" s="5" t="s">
        <v>4944</v>
      </c>
      <c r="G78" s="5" t="s">
        <v>5042</v>
      </c>
      <c r="H78" s="5" t="s">
        <v>5033</v>
      </c>
      <c r="I78" s="5" t="s">
        <v>1517</v>
      </c>
      <c r="J78" s="5"/>
      <c r="K78" s="5"/>
    </row>
    <row r="79" spans="1:11" ht="50.1" customHeight="1" x14ac:dyDescent="0.2">
      <c r="A79" s="5" t="s">
        <v>5044</v>
      </c>
      <c r="B79" s="5" t="s">
        <v>5031</v>
      </c>
      <c r="C79" s="5" t="s">
        <v>5066</v>
      </c>
      <c r="D79" s="5" t="s">
        <v>4096</v>
      </c>
      <c r="E79" s="5" t="s">
        <v>4133</v>
      </c>
      <c r="F79" s="5" t="s">
        <v>4944</v>
      </c>
      <c r="G79" s="5" t="s">
        <v>5044</v>
      </c>
      <c r="H79" s="5" t="s">
        <v>5033</v>
      </c>
      <c r="I79" s="5" t="s">
        <v>1517</v>
      </c>
      <c r="J79" s="5"/>
      <c r="K79" s="5"/>
    </row>
    <row r="80" spans="1:11" ht="50.1" customHeight="1" x14ac:dyDescent="0.2">
      <c r="A80" s="5" t="s">
        <v>5046</v>
      </c>
      <c r="B80" s="5" t="s">
        <v>5031</v>
      </c>
      <c r="C80" s="5" t="s">
        <v>5067</v>
      </c>
      <c r="D80" s="5" t="s">
        <v>4141</v>
      </c>
      <c r="E80" s="5" t="s">
        <v>4133</v>
      </c>
      <c r="F80" s="5" t="s">
        <v>4939</v>
      </c>
      <c r="G80" s="5" t="s">
        <v>5046</v>
      </c>
      <c r="H80" s="5" t="s">
        <v>5033</v>
      </c>
      <c r="I80" s="5" t="s">
        <v>1517</v>
      </c>
      <c r="J80" s="5"/>
      <c r="K80" s="5"/>
    </row>
    <row r="81" spans="1:11" ht="50.1" customHeight="1" x14ac:dyDescent="0.2">
      <c r="A81" s="5" t="s">
        <v>5048</v>
      </c>
      <c r="B81" s="5" t="s">
        <v>5031</v>
      </c>
      <c r="C81" s="5" t="s">
        <v>5068</v>
      </c>
      <c r="D81" s="5" t="s">
        <v>4137</v>
      </c>
      <c r="E81" s="5" t="s">
        <v>4144</v>
      </c>
      <c r="F81" s="5" t="s">
        <v>4944</v>
      </c>
      <c r="G81" s="5" t="s">
        <v>5048</v>
      </c>
      <c r="H81" s="5" t="s">
        <v>5033</v>
      </c>
      <c r="I81" s="5" t="s">
        <v>1517</v>
      </c>
      <c r="J81" s="5"/>
      <c r="K81" s="5"/>
    </row>
    <row r="82" spans="1:11" ht="50.1" customHeight="1" x14ac:dyDescent="0.2">
      <c r="A82" s="5" t="s">
        <v>5050</v>
      </c>
      <c r="B82" s="5" t="s">
        <v>5031</v>
      </c>
      <c r="C82" s="5" t="s">
        <v>5069</v>
      </c>
      <c r="D82" s="5" t="s">
        <v>4133</v>
      </c>
      <c r="E82" s="5" t="s">
        <v>4144</v>
      </c>
      <c r="F82" s="5" t="s">
        <v>4944</v>
      </c>
      <c r="G82" s="5" t="s">
        <v>5050</v>
      </c>
      <c r="H82" s="5" t="s">
        <v>5033</v>
      </c>
      <c r="I82" s="5" t="s">
        <v>1517</v>
      </c>
      <c r="J82" s="5"/>
      <c r="K82" s="5"/>
    </row>
    <row r="83" spans="1:11" ht="50.1" customHeight="1" x14ac:dyDescent="0.2">
      <c r="A83" s="5" t="s">
        <v>5052</v>
      </c>
      <c r="B83" s="5" t="s">
        <v>5031</v>
      </c>
      <c r="C83" s="5" t="s">
        <v>5070</v>
      </c>
      <c r="D83" s="5" t="s">
        <v>4141</v>
      </c>
      <c r="E83" s="5" t="s">
        <v>4144</v>
      </c>
      <c r="F83" s="5" t="s">
        <v>4944</v>
      </c>
      <c r="G83" s="5" t="s">
        <v>5052</v>
      </c>
      <c r="H83" s="5" t="s">
        <v>5033</v>
      </c>
      <c r="I83" s="5" t="s">
        <v>1517</v>
      </c>
      <c r="J83" s="5"/>
      <c r="K83" s="5"/>
    </row>
    <row r="84" spans="1:11" ht="50.1" customHeight="1" x14ac:dyDescent="0.2">
      <c r="A84" s="5" t="s">
        <v>5054</v>
      </c>
      <c r="B84" s="5" t="s">
        <v>5031</v>
      </c>
      <c r="C84" s="5" t="s">
        <v>5071</v>
      </c>
      <c r="D84" s="5" t="s">
        <v>4144</v>
      </c>
      <c r="E84" s="5" t="s">
        <v>4148</v>
      </c>
      <c r="F84" s="5" t="s">
        <v>4946</v>
      </c>
      <c r="G84" s="5" t="s">
        <v>5054</v>
      </c>
      <c r="H84" s="5" t="s">
        <v>5033</v>
      </c>
      <c r="I84" s="5" t="s">
        <v>1517</v>
      </c>
      <c r="J84" s="5"/>
      <c r="K84" s="5"/>
    </row>
    <row r="85" spans="1:11" ht="50.1" customHeight="1" x14ac:dyDescent="0.2">
      <c r="A85" s="5" t="s">
        <v>5030</v>
      </c>
      <c r="B85" s="5" t="s">
        <v>5072</v>
      </c>
      <c r="C85" s="5" t="s">
        <v>5073</v>
      </c>
      <c r="D85" s="5" t="s">
        <v>4153</v>
      </c>
      <c r="E85" s="5" t="s">
        <v>4158</v>
      </c>
      <c r="F85" s="5" t="s">
        <v>4939</v>
      </c>
      <c r="G85" s="5" t="s">
        <v>5030</v>
      </c>
      <c r="H85" s="5" t="s">
        <v>5033</v>
      </c>
      <c r="I85" s="5" t="s">
        <v>1517</v>
      </c>
      <c r="J85" s="5"/>
      <c r="K85" s="5"/>
    </row>
    <row r="86" spans="1:11" ht="50.1" customHeight="1" x14ac:dyDescent="0.2">
      <c r="A86" s="5" t="s">
        <v>5034</v>
      </c>
      <c r="B86" s="5" t="s">
        <v>5072</v>
      </c>
      <c r="C86" s="5" t="s">
        <v>5074</v>
      </c>
      <c r="D86" s="5" t="s">
        <v>4030</v>
      </c>
      <c r="E86" s="5" t="s">
        <v>4162</v>
      </c>
      <c r="F86" s="5" t="s">
        <v>1493</v>
      </c>
      <c r="G86" s="5" t="s">
        <v>5034</v>
      </c>
      <c r="H86" s="5" t="s">
        <v>5033</v>
      </c>
      <c r="I86" s="5" t="s">
        <v>1517</v>
      </c>
      <c r="J86" s="5"/>
      <c r="K86" s="5"/>
    </row>
    <row r="87" spans="1:11" ht="50.1" customHeight="1" x14ac:dyDescent="0.2">
      <c r="A87" s="5" t="s">
        <v>5036</v>
      </c>
      <c r="B87" s="5" t="s">
        <v>5072</v>
      </c>
      <c r="C87" s="5" t="s">
        <v>5075</v>
      </c>
      <c r="D87" s="5" t="s">
        <v>4026</v>
      </c>
      <c r="E87" s="5" t="s">
        <v>4165</v>
      </c>
      <c r="F87" s="5" t="s">
        <v>1493</v>
      </c>
      <c r="G87" s="5" t="s">
        <v>5036</v>
      </c>
      <c r="H87" s="5" t="s">
        <v>5033</v>
      </c>
      <c r="I87" s="5" t="s">
        <v>1517</v>
      </c>
      <c r="J87" s="5"/>
      <c r="K87" s="5"/>
    </row>
    <row r="88" spans="1:11" ht="50.1" customHeight="1" x14ac:dyDescent="0.2">
      <c r="A88" s="5" t="s">
        <v>5059</v>
      </c>
      <c r="B88" s="5" t="s">
        <v>5072</v>
      </c>
      <c r="C88" s="5" t="s">
        <v>5076</v>
      </c>
      <c r="D88" s="5" t="s">
        <v>4074</v>
      </c>
      <c r="E88" s="5" t="s">
        <v>4153</v>
      </c>
      <c r="F88" s="5" t="s">
        <v>4944</v>
      </c>
      <c r="G88" s="5" t="s">
        <v>5059</v>
      </c>
      <c r="H88" s="5" t="s">
        <v>5033</v>
      </c>
      <c r="I88" s="5" t="s">
        <v>1517</v>
      </c>
      <c r="J88" s="5"/>
      <c r="K88" s="5"/>
    </row>
    <row r="89" spans="1:11" ht="50.1" customHeight="1" x14ac:dyDescent="0.2">
      <c r="A89" s="5" t="s">
        <v>5061</v>
      </c>
      <c r="B89" s="5" t="s">
        <v>5072</v>
      </c>
      <c r="C89" s="5" t="s">
        <v>5077</v>
      </c>
      <c r="D89" s="5" t="s">
        <v>4078</v>
      </c>
      <c r="E89" s="5" t="s">
        <v>4153</v>
      </c>
      <c r="F89" s="5" t="s">
        <v>4944</v>
      </c>
      <c r="G89" s="5" t="s">
        <v>5061</v>
      </c>
      <c r="H89" s="5" t="s">
        <v>5033</v>
      </c>
      <c r="I89" s="5" t="s">
        <v>1517</v>
      </c>
      <c r="J89" s="5"/>
      <c r="K89" s="5"/>
    </row>
    <row r="90" spans="1:11" ht="50.1" customHeight="1" x14ac:dyDescent="0.2">
      <c r="A90" s="5" t="s">
        <v>5038</v>
      </c>
      <c r="B90" s="5" t="s">
        <v>5072</v>
      </c>
      <c r="C90" s="5" t="s">
        <v>5078</v>
      </c>
      <c r="D90" s="5" t="s">
        <v>4087</v>
      </c>
      <c r="E90" s="5" t="s">
        <v>4153</v>
      </c>
      <c r="F90" s="5" t="s">
        <v>4944</v>
      </c>
      <c r="G90" s="5" t="s">
        <v>5038</v>
      </c>
      <c r="H90" s="5" t="s">
        <v>5033</v>
      </c>
      <c r="I90" s="5" t="s">
        <v>1517</v>
      </c>
      <c r="J90" s="5"/>
      <c r="K90" s="5"/>
    </row>
    <row r="91" spans="1:11" ht="50.1" customHeight="1" x14ac:dyDescent="0.2">
      <c r="A91" s="5" t="s">
        <v>5040</v>
      </c>
      <c r="B91" s="5" t="s">
        <v>5072</v>
      </c>
      <c r="C91" s="5" t="s">
        <v>5079</v>
      </c>
      <c r="D91" s="5" t="s">
        <v>4092</v>
      </c>
      <c r="E91" s="5" t="s">
        <v>4153</v>
      </c>
      <c r="F91" s="5" t="s">
        <v>4944</v>
      </c>
      <c r="G91" s="5" t="s">
        <v>5040</v>
      </c>
      <c r="H91" s="5" t="s">
        <v>5033</v>
      </c>
      <c r="I91" s="5" t="s">
        <v>1517</v>
      </c>
      <c r="J91" s="5"/>
      <c r="K91" s="5"/>
    </row>
    <row r="92" spans="1:11" ht="50.1" customHeight="1" x14ac:dyDescent="0.2">
      <c r="A92" s="5" t="s">
        <v>5042</v>
      </c>
      <c r="B92" s="5" t="s">
        <v>5072</v>
      </c>
      <c r="C92" s="5" t="s">
        <v>5080</v>
      </c>
      <c r="D92" s="5" t="s">
        <v>4082</v>
      </c>
      <c r="E92" s="5" t="s">
        <v>4153</v>
      </c>
      <c r="F92" s="5" t="s">
        <v>4944</v>
      </c>
      <c r="G92" s="5" t="s">
        <v>5042</v>
      </c>
      <c r="H92" s="5" t="s">
        <v>5033</v>
      </c>
      <c r="I92" s="5" t="s">
        <v>1517</v>
      </c>
      <c r="J92" s="5"/>
      <c r="K92" s="5"/>
    </row>
    <row r="93" spans="1:11" ht="50.1" customHeight="1" x14ac:dyDescent="0.2">
      <c r="A93" s="5" t="s">
        <v>5044</v>
      </c>
      <c r="B93" s="5" t="s">
        <v>5072</v>
      </c>
      <c r="C93" s="5" t="s">
        <v>5081</v>
      </c>
      <c r="D93" s="5" t="s">
        <v>4096</v>
      </c>
      <c r="E93" s="5" t="s">
        <v>4153</v>
      </c>
      <c r="F93" s="5" t="s">
        <v>4944</v>
      </c>
      <c r="G93" s="5" t="s">
        <v>5044</v>
      </c>
      <c r="H93" s="5" t="s">
        <v>5033</v>
      </c>
      <c r="I93" s="5" t="s">
        <v>1517</v>
      </c>
      <c r="J93" s="5"/>
      <c r="K93" s="5"/>
    </row>
    <row r="94" spans="1:11" ht="50.1" customHeight="1" x14ac:dyDescent="0.2">
      <c r="A94" s="5" t="s">
        <v>5046</v>
      </c>
      <c r="B94" s="5" t="s">
        <v>5072</v>
      </c>
      <c r="C94" s="5" t="s">
        <v>5082</v>
      </c>
      <c r="D94" s="5" t="s">
        <v>4162</v>
      </c>
      <c r="E94" s="5" t="s">
        <v>4153</v>
      </c>
      <c r="F94" s="5" t="s">
        <v>4939</v>
      </c>
      <c r="G94" s="5" t="s">
        <v>5046</v>
      </c>
      <c r="H94" s="5" t="s">
        <v>5033</v>
      </c>
      <c r="I94" s="5" t="s">
        <v>1517</v>
      </c>
      <c r="J94" s="5"/>
      <c r="K94" s="5"/>
    </row>
    <row r="95" spans="1:11" ht="50.1" customHeight="1" x14ac:dyDescent="0.2">
      <c r="A95" s="5" t="s">
        <v>5048</v>
      </c>
      <c r="B95" s="5" t="s">
        <v>5072</v>
      </c>
      <c r="C95" s="5" t="s">
        <v>5083</v>
      </c>
      <c r="D95" s="5" t="s">
        <v>4158</v>
      </c>
      <c r="E95" s="5" t="s">
        <v>4165</v>
      </c>
      <c r="F95" s="5" t="s">
        <v>4944</v>
      </c>
      <c r="G95" s="5" t="s">
        <v>5048</v>
      </c>
      <c r="H95" s="5" t="s">
        <v>5033</v>
      </c>
      <c r="I95" s="5" t="s">
        <v>1517</v>
      </c>
      <c r="J95" s="5"/>
      <c r="K95" s="5"/>
    </row>
    <row r="96" spans="1:11" ht="50.1" customHeight="1" x14ac:dyDescent="0.2">
      <c r="A96" s="5" t="s">
        <v>5050</v>
      </c>
      <c r="B96" s="5" t="s">
        <v>5072</v>
      </c>
      <c r="C96" s="5" t="s">
        <v>5084</v>
      </c>
      <c r="D96" s="5" t="s">
        <v>4153</v>
      </c>
      <c r="E96" s="5" t="s">
        <v>4165</v>
      </c>
      <c r="F96" s="5" t="s">
        <v>4944</v>
      </c>
      <c r="G96" s="5" t="s">
        <v>5050</v>
      </c>
      <c r="H96" s="5" t="s">
        <v>5033</v>
      </c>
      <c r="I96" s="5" t="s">
        <v>1517</v>
      </c>
      <c r="J96" s="5"/>
      <c r="K96" s="5"/>
    </row>
    <row r="97" spans="1:11" ht="50.1" customHeight="1" x14ac:dyDescent="0.2">
      <c r="A97" s="5" t="s">
        <v>5052</v>
      </c>
      <c r="B97" s="5" t="s">
        <v>5072</v>
      </c>
      <c r="C97" s="5" t="s">
        <v>5085</v>
      </c>
      <c r="D97" s="5" t="s">
        <v>4162</v>
      </c>
      <c r="E97" s="5" t="s">
        <v>4165</v>
      </c>
      <c r="F97" s="5" t="s">
        <v>4944</v>
      </c>
      <c r="G97" s="5" t="s">
        <v>5052</v>
      </c>
      <c r="H97" s="5" t="s">
        <v>5033</v>
      </c>
      <c r="I97" s="5" t="s">
        <v>1517</v>
      </c>
      <c r="J97" s="5"/>
      <c r="K97" s="5"/>
    </row>
    <row r="98" spans="1:11" ht="50.1" customHeight="1" x14ac:dyDescent="0.2">
      <c r="A98" s="5" t="s">
        <v>5054</v>
      </c>
      <c r="B98" s="5" t="s">
        <v>5072</v>
      </c>
      <c r="C98" s="5" t="s">
        <v>5086</v>
      </c>
      <c r="D98" s="5" t="s">
        <v>4165</v>
      </c>
      <c r="E98" s="5" t="s">
        <v>4169</v>
      </c>
      <c r="F98" s="5" t="s">
        <v>4946</v>
      </c>
      <c r="G98" s="5" t="s">
        <v>5054</v>
      </c>
      <c r="H98" s="5" t="s">
        <v>5033</v>
      </c>
      <c r="I98" s="5" t="s">
        <v>1517</v>
      </c>
      <c r="J98" s="5"/>
      <c r="K98" s="5"/>
    </row>
    <row r="99" spans="1:11" ht="50.1" customHeight="1" x14ac:dyDescent="0.2">
      <c r="A99" s="5" t="s">
        <v>5030</v>
      </c>
      <c r="B99" s="5" t="s">
        <v>5087</v>
      </c>
      <c r="C99" s="5" t="s">
        <v>5088</v>
      </c>
      <c r="D99" s="5" t="s">
        <v>4174</v>
      </c>
      <c r="E99" s="5" t="s">
        <v>4179</v>
      </c>
      <c r="F99" s="5" t="s">
        <v>4939</v>
      </c>
      <c r="G99" s="5" t="s">
        <v>5030</v>
      </c>
      <c r="H99" s="5" t="s">
        <v>5033</v>
      </c>
      <c r="I99" s="5" t="s">
        <v>1517</v>
      </c>
      <c r="J99" s="5"/>
      <c r="K99" s="5"/>
    </row>
    <row r="100" spans="1:11" ht="50.1" customHeight="1" x14ac:dyDescent="0.2">
      <c r="A100" s="5" t="s">
        <v>5034</v>
      </c>
      <c r="B100" s="5" t="s">
        <v>5087</v>
      </c>
      <c r="C100" s="5" t="s">
        <v>5089</v>
      </c>
      <c r="D100" s="5" t="s">
        <v>4046</v>
      </c>
      <c r="E100" s="5" t="s">
        <v>4183</v>
      </c>
      <c r="F100" s="5" t="s">
        <v>1493</v>
      </c>
      <c r="G100" s="5" t="s">
        <v>5034</v>
      </c>
      <c r="H100" s="5" t="s">
        <v>5033</v>
      </c>
      <c r="I100" s="5" t="s">
        <v>1517</v>
      </c>
      <c r="J100" s="5"/>
      <c r="K100" s="5"/>
    </row>
    <row r="101" spans="1:11" ht="50.1" customHeight="1" x14ac:dyDescent="0.2">
      <c r="A101" s="5" t="s">
        <v>5036</v>
      </c>
      <c r="B101" s="5" t="s">
        <v>5087</v>
      </c>
      <c r="C101" s="5" t="s">
        <v>5090</v>
      </c>
      <c r="D101" s="5" t="s">
        <v>4042</v>
      </c>
      <c r="E101" s="5" t="s">
        <v>4186</v>
      </c>
      <c r="F101" s="5" t="s">
        <v>1493</v>
      </c>
      <c r="G101" s="5" t="s">
        <v>5036</v>
      </c>
      <c r="H101" s="5" t="s">
        <v>5033</v>
      </c>
      <c r="I101" s="5" t="s">
        <v>1517</v>
      </c>
      <c r="J101" s="5"/>
      <c r="K101" s="5"/>
    </row>
    <row r="102" spans="1:11" ht="50.1" customHeight="1" x14ac:dyDescent="0.2">
      <c r="A102" s="5" t="s">
        <v>5059</v>
      </c>
      <c r="B102" s="5" t="s">
        <v>5087</v>
      </c>
      <c r="C102" s="5" t="s">
        <v>5091</v>
      </c>
      <c r="D102" s="5" t="s">
        <v>4074</v>
      </c>
      <c r="E102" s="5" t="s">
        <v>4174</v>
      </c>
      <c r="F102" s="5" t="s">
        <v>4944</v>
      </c>
      <c r="G102" s="5" t="s">
        <v>5059</v>
      </c>
      <c r="H102" s="5" t="s">
        <v>5033</v>
      </c>
      <c r="I102" s="5" t="s">
        <v>1517</v>
      </c>
      <c r="J102" s="5"/>
      <c r="K102" s="5"/>
    </row>
    <row r="103" spans="1:11" ht="50.1" customHeight="1" x14ac:dyDescent="0.2">
      <c r="A103" s="5" t="s">
        <v>5061</v>
      </c>
      <c r="B103" s="5" t="s">
        <v>5087</v>
      </c>
      <c r="C103" s="5" t="s">
        <v>5092</v>
      </c>
      <c r="D103" s="5" t="s">
        <v>4078</v>
      </c>
      <c r="E103" s="5" t="s">
        <v>4174</v>
      </c>
      <c r="F103" s="5" t="s">
        <v>4944</v>
      </c>
      <c r="G103" s="5" t="s">
        <v>5061</v>
      </c>
      <c r="H103" s="5" t="s">
        <v>5033</v>
      </c>
      <c r="I103" s="5" t="s">
        <v>1517</v>
      </c>
      <c r="J103" s="5"/>
      <c r="K103" s="5"/>
    </row>
    <row r="104" spans="1:11" ht="50.1" customHeight="1" x14ac:dyDescent="0.2">
      <c r="A104" s="5" t="s">
        <v>5038</v>
      </c>
      <c r="B104" s="5" t="s">
        <v>5087</v>
      </c>
      <c r="C104" s="5" t="s">
        <v>5093</v>
      </c>
      <c r="D104" s="5" t="s">
        <v>4087</v>
      </c>
      <c r="E104" s="5" t="s">
        <v>4174</v>
      </c>
      <c r="F104" s="5" t="s">
        <v>4944</v>
      </c>
      <c r="G104" s="5" t="s">
        <v>5038</v>
      </c>
      <c r="H104" s="5" t="s">
        <v>5033</v>
      </c>
      <c r="I104" s="5" t="s">
        <v>1517</v>
      </c>
      <c r="J104" s="5"/>
      <c r="K104" s="5"/>
    </row>
    <row r="105" spans="1:11" ht="50.1" customHeight="1" x14ac:dyDescent="0.2">
      <c r="A105" s="5" t="s">
        <v>5040</v>
      </c>
      <c r="B105" s="5" t="s">
        <v>5087</v>
      </c>
      <c r="C105" s="5" t="s">
        <v>5094</v>
      </c>
      <c r="D105" s="5" t="s">
        <v>4092</v>
      </c>
      <c r="E105" s="5" t="s">
        <v>4174</v>
      </c>
      <c r="F105" s="5" t="s">
        <v>4944</v>
      </c>
      <c r="G105" s="5" t="s">
        <v>5040</v>
      </c>
      <c r="H105" s="5" t="s">
        <v>5033</v>
      </c>
      <c r="I105" s="5" t="s">
        <v>1517</v>
      </c>
      <c r="J105" s="5"/>
      <c r="K105" s="5"/>
    </row>
    <row r="106" spans="1:11" ht="50.1" customHeight="1" x14ac:dyDescent="0.2">
      <c r="A106" s="5" t="s">
        <v>5042</v>
      </c>
      <c r="B106" s="5" t="s">
        <v>5087</v>
      </c>
      <c r="C106" s="5" t="s">
        <v>5095</v>
      </c>
      <c r="D106" s="5" t="s">
        <v>4082</v>
      </c>
      <c r="E106" s="5" t="s">
        <v>4174</v>
      </c>
      <c r="F106" s="5" t="s">
        <v>4944</v>
      </c>
      <c r="G106" s="5" t="s">
        <v>5042</v>
      </c>
      <c r="H106" s="5" t="s">
        <v>5033</v>
      </c>
      <c r="I106" s="5" t="s">
        <v>1517</v>
      </c>
      <c r="J106" s="5"/>
      <c r="K106" s="5"/>
    </row>
    <row r="107" spans="1:11" ht="50.1" customHeight="1" x14ac:dyDescent="0.2">
      <c r="A107" s="5" t="s">
        <v>5044</v>
      </c>
      <c r="B107" s="5" t="s">
        <v>5087</v>
      </c>
      <c r="C107" s="5" t="s">
        <v>5096</v>
      </c>
      <c r="D107" s="5" t="s">
        <v>4096</v>
      </c>
      <c r="E107" s="5" t="s">
        <v>4174</v>
      </c>
      <c r="F107" s="5" t="s">
        <v>4944</v>
      </c>
      <c r="G107" s="5" t="s">
        <v>5044</v>
      </c>
      <c r="H107" s="5" t="s">
        <v>5033</v>
      </c>
      <c r="I107" s="5" t="s">
        <v>1517</v>
      </c>
      <c r="J107" s="5"/>
      <c r="K107" s="5"/>
    </row>
    <row r="108" spans="1:11" ht="50.1" customHeight="1" x14ac:dyDescent="0.2">
      <c r="A108" s="5" t="s">
        <v>5046</v>
      </c>
      <c r="B108" s="5" t="s">
        <v>5087</v>
      </c>
      <c r="C108" s="5" t="s">
        <v>5097</v>
      </c>
      <c r="D108" s="5" t="s">
        <v>4183</v>
      </c>
      <c r="E108" s="5" t="s">
        <v>4174</v>
      </c>
      <c r="F108" s="5" t="s">
        <v>4939</v>
      </c>
      <c r="G108" s="5" t="s">
        <v>5046</v>
      </c>
      <c r="H108" s="5" t="s">
        <v>5033</v>
      </c>
      <c r="I108" s="5" t="s">
        <v>1517</v>
      </c>
      <c r="J108" s="5"/>
      <c r="K108" s="5"/>
    </row>
    <row r="109" spans="1:11" ht="50.1" customHeight="1" x14ac:dyDescent="0.2">
      <c r="A109" s="5" t="s">
        <v>5048</v>
      </c>
      <c r="B109" s="5" t="s">
        <v>5087</v>
      </c>
      <c r="C109" s="5" t="s">
        <v>5098</v>
      </c>
      <c r="D109" s="5" t="s">
        <v>4179</v>
      </c>
      <c r="E109" s="5" t="s">
        <v>4186</v>
      </c>
      <c r="F109" s="5" t="s">
        <v>4944</v>
      </c>
      <c r="G109" s="5" t="s">
        <v>5048</v>
      </c>
      <c r="H109" s="5" t="s">
        <v>5033</v>
      </c>
      <c r="I109" s="5" t="s">
        <v>1517</v>
      </c>
      <c r="J109" s="5"/>
      <c r="K109" s="5"/>
    </row>
    <row r="110" spans="1:11" ht="50.1" customHeight="1" x14ac:dyDescent="0.2">
      <c r="A110" s="5" t="s">
        <v>5050</v>
      </c>
      <c r="B110" s="5" t="s">
        <v>5087</v>
      </c>
      <c r="C110" s="5" t="s">
        <v>5099</v>
      </c>
      <c r="D110" s="5" t="s">
        <v>4174</v>
      </c>
      <c r="E110" s="5" t="s">
        <v>4186</v>
      </c>
      <c r="F110" s="5" t="s">
        <v>4944</v>
      </c>
      <c r="G110" s="5" t="s">
        <v>5050</v>
      </c>
      <c r="H110" s="5" t="s">
        <v>5033</v>
      </c>
      <c r="I110" s="5" t="s">
        <v>1517</v>
      </c>
      <c r="J110" s="5"/>
      <c r="K110" s="5"/>
    </row>
    <row r="111" spans="1:11" ht="50.1" customHeight="1" x14ac:dyDescent="0.2">
      <c r="A111" s="5" t="s">
        <v>5052</v>
      </c>
      <c r="B111" s="5" t="s">
        <v>5087</v>
      </c>
      <c r="C111" s="5" t="s">
        <v>5100</v>
      </c>
      <c r="D111" s="5" t="s">
        <v>4183</v>
      </c>
      <c r="E111" s="5" t="s">
        <v>4186</v>
      </c>
      <c r="F111" s="5" t="s">
        <v>4944</v>
      </c>
      <c r="G111" s="5" t="s">
        <v>5052</v>
      </c>
      <c r="H111" s="5" t="s">
        <v>5033</v>
      </c>
      <c r="I111" s="5" t="s">
        <v>1517</v>
      </c>
      <c r="J111" s="5"/>
      <c r="K111" s="5"/>
    </row>
    <row r="112" spans="1:11" ht="50.1" customHeight="1" x14ac:dyDescent="0.2">
      <c r="A112" s="5" t="s">
        <v>5054</v>
      </c>
      <c r="B112" s="5" t="s">
        <v>5087</v>
      </c>
      <c r="C112" s="5" t="s">
        <v>5101</v>
      </c>
      <c r="D112" s="5" t="s">
        <v>4186</v>
      </c>
      <c r="E112" s="5" t="s">
        <v>4190</v>
      </c>
      <c r="F112" s="5" t="s">
        <v>4946</v>
      </c>
      <c r="G112" s="5" t="s">
        <v>5054</v>
      </c>
      <c r="H112" s="5" t="s">
        <v>5033</v>
      </c>
      <c r="I112" s="5" t="s">
        <v>1517</v>
      </c>
      <c r="J112" s="5"/>
      <c r="K112" s="5"/>
    </row>
    <row r="113" spans="1:11" ht="50.1" customHeight="1" x14ac:dyDescent="0.2">
      <c r="A113" s="5" t="s">
        <v>5030</v>
      </c>
      <c r="B113" s="5" t="s">
        <v>5102</v>
      </c>
      <c r="C113" s="5" t="s">
        <v>5103</v>
      </c>
      <c r="D113" s="5" t="s">
        <v>4195</v>
      </c>
      <c r="E113" s="5" t="s">
        <v>4200</v>
      </c>
      <c r="F113" s="5" t="s">
        <v>4939</v>
      </c>
      <c r="G113" s="5" t="s">
        <v>5030</v>
      </c>
      <c r="H113" s="5" t="s">
        <v>5033</v>
      </c>
      <c r="I113" s="5" t="s">
        <v>1517</v>
      </c>
      <c r="J113" s="5"/>
      <c r="K113" s="5"/>
    </row>
    <row r="114" spans="1:11" ht="50.1" customHeight="1" x14ac:dyDescent="0.2">
      <c r="A114" s="5" t="s">
        <v>5034</v>
      </c>
      <c r="B114" s="5" t="s">
        <v>5102</v>
      </c>
      <c r="C114" s="5" t="s">
        <v>5104</v>
      </c>
      <c r="D114" s="5" t="s">
        <v>4054</v>
      </c>
      <c r="E114" s="5" t="s">
        <v>4204</v>
      </c>
      <c r="F114" s="5" t="s">
        <v>1493</v>
      </c>
      <c r="G114" s="5" t="s">
        <v>5034</v>
      </c>
      <c r="H114" s="5" t="s">
        <v>5033</v>
      </c>
      <c r="I114" s="5" t="s">
        <v>1517</v>
      </c>
      <c r="J114" s="5"/>
      <c r="K114" s="5"/>
    </row>
    <row r="115" spans="1:11" ht="50.1" customHeight="1" x14ac:dyDescent="0.2">
      <c r="A115" s="5" t="s">
        <v>5036</v>
      </c>
      <c r="B115" s="5" t="s">
        <v>5102</v>
      </c>
      <c r="C115" s="5" t="s">
        <v>5105</v>
      </c>
      <c r="D115" s="5" t="s">
        <v>4050</v>
      </c>
      <c r="E115" s="5" t="s">
        <v>4207</v>
      </c>
      <c r="F115" s="5" t="s">
        <v>1493</v>
      </c>
      <c r="G115" s="5" t="s">
        <v>5036</v>
      </c>
      <c r="H115" s="5" t="s">
        <v>5033</v>
      </c>
      <c r="I115" s="5" t="s">
        <v>1517</v>
      </c>
      <c r="J115" s="5"/>
      <c r="K115" s="5"/>
    </row>
    <row r="116" spans="1:11" ht="50.1" customHeight="1" x14ac:dyDescent="0.2">
      <c r="A116" s="5" t="s">
        <v>5059</v>
      </c>
      <c r="B116" s="5" t="s">
        <v>5102</v>
      </c>
      <c r="C116" s="5" t="s">
        <v>5106</v>
      </c>
      <c r="D116" s="5" t="s">
        <v>4074</v>
      </c>
      <c r="E116" s="5" t="s">
        <v>4195</v>
      </c>
      <c r="F116" s="5" t="s">
        <v>4944</v>
      </c>
      <c r="G116" s="5" t="s">
        <v>5059</v>
      </c>
      <c r="H116" s="5" t="s">
        <v>5033</v>
      </c>
      <c r="I116" s="5" t="s">
        <v>1517</v>
      </c>
      <c r="J116" s="5"/>
      <c r="K116" s="5"/>
    </row>
    <row r="117" spans="1:11" ht="50.1" customHeight="1" x14ac:dyDescent="0.2">
      <c r="A117" s="5" t="s">
        <v>5061</v>
      </c>
      <c r="B117" s="5" t="s">
        <v>5102</v>
      </c>
      <c r="C117" s="5" t="s">
        <v>5107</v>
      </c>
      <c r="D117" s="5" t="s">
        <v>4078</v>
      </c>
      <c r="E117" s="5" t="s">
        <v>4195</v>
      </c>
      <c r="F117" s="5" t="s">
        <v>4944</v>
      </c>
      <c r="G117" s="5" t="s">
        <v>5061</v>
      </c>
      <c r="H117" s="5" t="s">
        <v>5033</v>
      </c>
      <c r="I117" s="5" t="s">
        <v>1517</v>
      </c>
      <c r="J117" s="5"/>
      <c r="K117" s="5"/>
    </row>
    <row r="118" spans="1:11" ht="50.1" customHeight="1" x14ac:dyDescent="0.2">
      <c r="A118" s="5" t="s">
        <v>5038</v>
      </c>
      <c r="B118" s="5" t="s">
        <v>5102</v>
      </c>
      <c r="C118" s="5" t="s">
        <v>5108</v>
      </c>
      <c r="D118" s="5" t="s">
        <v>4087</v>
      </c>
      <c r="E118" s="5" t="s">
        <v>4195</v>
      </c>
      <c r="F118" s="5" t="s">
        <v>4944</v>
      </c>
      <c r="G118" s="5" t="s">
        <v>5038</v>
      </c>
      <c r="H118" s="5" t="s">
        <v>5033</v>
      </c>
      <c r="I118" s="5" t="s">
        <v>1517</v>
      </c>
      <c r="J118" s="5"/>
      <c r="K118" s="5"/>
    </row>
    <row r="119" spans="1:11" ht="50.1" customHeight="1" x14ac:dyDescent="0.2">
      <c r="A119" s="5" t="s">
        <v>5040</v>
      </c>
      <c r="B119" s="5" t="s">
        <v>5102</v>
      </c>
      <c r="C119" s="5" t="s">
        <v>5109</v>
      </c>
      <c r="D119" s="5" t="s">
        <v>4092</v>
      </c>
      <c r="E119" s="5" t="s">
        <v>4195</v>
      </c>
      <c r="F119" s="5" t="s">
        <v>4944</v>
      </c>
      <c r="G119" s="5" t="s">
        <v>5040</v>
      </c>
      <c r="H119" s="5" t="s">
        <v>5033</v>
      </c>
      <c r="I119" s="5" t="s">
        <v>1517</v>
      </c>
      <c r="J119" s="5"/>
      <c r="K119" s="5"/>
    </row>
    <row r="120" spans="1:11" ht="50.1" customHeight="1" x14ac:dyDescent="0.2">
      <c r="A120" s="5" t="s">
        <v>5042</v>
      </c>
      <c r="B120" s="5" t="s">
        <v>5102</v>
      </c>
      <c r="C120" s="5" t="s">
        <v>5110</v>
      </c>
      <c r="D120" s="5" t="s">
        <v>4082</v>
      </c>
      <c r="E120" s="5" t="s">
        <v>4195</v>
      </c>
      <c r="F120" s="5" t="s">
        <v>4944</v>
      </c>
      <c r="G120" s="5" t="s">
        <v>5042</v>
      </c>
      <c r="H120" s="5" t="s">
        <v>5033</v>
      </c>
      <c r="I120" s="5" t="s">
        <v>1517</v>
      </c>
      <c r="J120" s="5"/>
      <c r="K120" s="5"/>
    </row>
    <row r="121" spans="1:11" ht="50.1" customHeight="1" x14ac:dyDescent="0.2">
      <c r="A121" s="5" t="s">
        <v>5044</v>
      </c>
      <c r="B121" s="5" t="s">
        <v>5102</v>
      </c>
      <c r="C121" s="5" t="s">
        <v>5111</v>
      </c>
      <c r="D121" s="5" t="s">
        <v>4096</v>
      </c>
      <c r="E121" s="5" t="s">
        <v>4195</v>
      </c>
      <c r="F121" s="5" t="s">
        <v>4944</v>
      </c>
      <c r="G121" s="5" t="s">
        <v>5044</v>
      </c>
      <c r="H121" s="5" t="s">
        <v>5033</v>
      </c>
      <c r="I121" s="5" t="s">
        <v>1517</v>
      </c>
      <c r="J121" s="5"/>
      <c r="K121" s="5"/>
    </row>
    <row r="122" spans="1:11" ht="50.1" customHeight="1" x14ac:dyDescent="0.2">
      <c r="A122" s="5" t="s">
        <v>5046</v>
      </c>
      <c r="B122" s="5" t="s">
        <v>5102</v>
      </c>
      <c r="C122" s="5" t="s">
        <v>5112</v>
      </c>
      <c r="D122" s="5" t="s">
        <v>4204</v>
      </c>
      <c r="E122" s="5" t="s">
        <v>4195</v>
      </c>
      <c r="F122" s="5" t="s">
        <v>4939</v>
      </c>
      <c r="G122" s="5" t="s">
        <v>5046</v>
      </c>
      <c r="H122" s="5" t="s">
        <v>5033</v>
      </c>
      <c r="I122" s="5" t="s">
        <v>1517</v>
      </c>
      <c r="J122" s="5"/>
      <c r="K122" s="5"/>
    </row>
    <row r="123" spans="1:11" ht="50.1" customHeight="1" x14ac:dyDescent="0.2">
      <c r="A123" s="5" t="s">
        <v>5048</v>
      </c>
      <c r="B123" s="5" t="s">
        <v>5102</v>
      </c>
      <c r="C123" s="5" t="s">
        <v>5113</v>
      </c>
      <c r="D123" s="5" t="s">
        <v>4200</v>
      </c>
      <c r="E123" s="5" t="s">
        <v>4207</v>
      </c>
      <c r="F123" s="5" t="s">
        <v>4944</v>
      </c>
      <c r="G123" s="5" t="s">
        <v>5048</v>
      </c>
      <c r="H123" s="5" t="s">
        <v>5033</v>
      </c>
      <c r="I123" s="5" t="s">
        <v>1517</v>
      </c>
      <c r="J123" s="5"/>
      <c r="K123" s="5"/>
    </row>
    <row r="124" spans="1:11" ht="50.1" customHeight="1" x14ac:dyDescent="0.2">
      <c r="A124" s="5" t="s">
        <v>5050</v>
      </c>
      <c r="B124" s="5" t="s">
        <v>5102</v>
      </c>
      <c r="C124" s="5" t="s">
        <v>5114</v>
      </c>
      <c r="D124" s="5" t="s">
        <v>4195</v>
      </c>
      <c r="E124" s="5" t="s">
        <v>4207</v>
      </c>
      <c r="F124" s="5" t="s">
        <v>4944</v>
      </c>
      <c r="G124" s="5" t="s">
        <v>5050</v>
      </c>
      <c r="H124" s="5" t="s">
        <v>5033</v>
      </c>
      <c r="I124" s="5" t="s">
        <v>1517</v>
      </c>
      <c r="J124" s="5"/>
      <c r="K124" s="5"/>
    </row>
    <row r="125" spans="1:11" ht="50.1" customHeight="1" x14ac:dyDescent="0.2">
      <c r="A125" s="5" t="s">
        <v>5052</v>
      </c>
      <c r="B125" s="5" t="s">
        <v>5102</v>
      </c>
      <c r="C125" s="5" t="s">
        <v>5115</v>
      </c>
      <c r="D125" s="5" t="s">
        <v>4204</v>
      </c>
      <c r="E125" s="5" t="s">
        <v>4207</v>
      </c>
      <c r="F125" s="5" t="s">
        <v>4944</v>
      </c>
      <c r="G125" s="5" t="s">
        <v>5052</v>
      </c>
      <c r="H125" s="5" t="s">
        <v>5033</v>
      </c>
      <c r="I125" s="5" t="s">
        <v>1517</v>
      </c>
      <c r="J125" s="5"/>
      <c r="K125" s="5"/>
    </row>
    <row r="126" spans="1:11" ht="50.1" customHeight="1" x14ac:dyDescent="0.2">
      <c r="A126" s="5" t="s">
        <v>5054</v>
      </c>
      <c r="B126" s="5" t="s">
        <v>5102</v>
      </c>
      <c r="C126" s="5" t="s">
        <v>5116</v>
      </c>
      <c r="D126" s="5" t="s">
        <v>4207</v>
      </c>
      <c r="E126" s="5" t="s">
        <v>4211</v>
      </c>
      <c r="F126" s="5" t="s">
        <v>4946</v>
      </c>
      <c r="G126" s="5" t="s">
        <v>5054</v>
      </c>
      <c r="H126" s="5" t="s">
        <v>5033</v>
      </c>
      <c r="I126" s="5" t="s">
        <v>1517</v>
      </c>
      <c r="J126" s="5"/>
      <c r="K126" s="5"/>
    </row>
    <row r="127" spans="1:11" ht="50.1" customHeight="1" x14ac:dyDescent="0.2">
      <c r="A127" s="5" t="s">
        <v>5030</v>
      </c>
      <c r="B127" s="5" t="s">
        <v>5117</v>
      </c>
      <c r="C127" s="5" t="s">
        <v>5118</v>
      </c>
      <c r="D127" s="5" t="s">
        <v>4216</v>
      </c>
      <c r="E127" s="5" t="s">
        <v>4221</v>
      </c>
      <c r="F127" s="5" t="s">
        <v>4939</v>
      </c>
      <c r="G127" s="5" t="s">
        <v>5030</v>
      </c>
      <c r="H127" s="5" t="s">
        <v>5033</v>
      </c>
      <c r="I127" s="5" t="s">
        <v>1517</v>
      </c>
      <c r="J127" s="5"/>
      <c r="K127" s="5"/>
    </row>
    <row r="128" spans="1:11" ht="50.1" customHeight="1" x14ac:dyDescent="0.2">
      <c r="A128" s="5" t="s">
        <v>5034</v>
      </c>
      <c r="B128" s="5" t="s">
        <v>5117</v>
      </c>
      <c r="C128" s="5" t="s">
        <v>5119</v>
      </c>
      <c r="D128" s="5" t="s">
        <v>4062</v>
      </c>
      <c r="E128" s="5" t="s">
        <v>4225</v>
      </c>
      <c r="F128" s="5" t="s">
        <v>1493</v>
      </c>
      <c r="G128" s="5" t="s">
        <v>5034</v>
      </c>
      <c r="H128" s="5" t="s">
        <v>5033</v>
      </c>
      <c r="I128" s="5" t="s">
        <v>1517</v>
      </c>
      <c r="J128" s="5"/>
      <c r="K128" s="5"/>
    </row>
    <row r="129" spans="1:11" ht="50.1" customHeight="1" x14ac:dyDescent="0.2">
      <c r="A129" s="5" t="s">
        <v>5036</v>
      </c>
      <c r="B129" s="5" t="s">
        <v>5117</v>
      </c>
      <c r="C129" s="5" t="s">
        <v>5120</v>
      </c>
      <c r="D129" s="5" t="s">
        <v>4058</v>
      </c>
      <c r="E129" s="5" t="s">
        <v>4228</v>
      </c>
      <c r="F129" s="5" t="s">
        <v>1493</v>
      </c>
      <c r="G129" s="5" t="s">
        <v>5036</v>
      </c>
      <c r="H129" s="5" t="s">
        <v>5033</v>
      </c>
      <c r="I129" s="5" t="s">
        <v>1517</v>
      </c>
      <c r="J129" s="5"/>
      <c r="K129" s="5"/>
    </row>
    <row r="130" spans="1:11" ht="50.1" customHeight="1" x14ac:dyDescent="0.2">
      <c r="A130" s="5" t="s">
        <v>5059</v>
      </c>
      <c r="B130" s="5" t="s">
        <v>5117</v>
      </c>
      <c r="C130" s="5" t="s">
        <v>5121</v>
      </c>
      <c r="D130" s="5" t="s">
        <v>4074</v>
      </c>
      <c r="E130" s="5" t="s">
        <v>4216</v>
      </c>
      <c r="F130" s="5" t="s">
        <v>4944</v>
      </c>
      <c r="G130" s="5" t="s">
        <v>5059</v>
      </c>
      <c r="H130" s="5" t="s">
        <v>5033</v>
      </c>
      <c r="I130" s="5" t="s">
        <v>1517</v>
      </c>
      <c r="J130" s="5"/>
      <c r="K130" s="5"/>
    </row>
    <row r="131" spans="1:11" ht="50.1" customHeight="1" x14ac:dyDescent="0.2">
      <c r="A131" s="5" t="s">
        <v>5061</v>
      </c>
      <c r="B131" s="5" t="s">
        <v>5117</v>
      </c>
      <c r="C131" s="5" t="s">
        <v>5122</v>
      </c>
      <c r="D131" s="5" t="s">
        <v>4078</v>
      </c>
      <c r="E131" s="5" t="s">
        <v>4216</v>
      </c>
      <c r="F131" s="5" t="s">
        <v>4944</v>
      </c>
      <c r="G131" s="5" t="s">
        <v>5061</v>
      </c>
      <c r="H131" s="5" t="s">
        <v>5033</v>
      </c>
      <c r="I131" s="5" t="s">
        <v>1517</v>
      </c>
      <c r="J131" s="5"/>
      <c r="K131" s="5"/>
    </row>
    <row r="132" spans="1:11" ht="50.1" customHeight="1" x14ac:dyDescent="0.2">
      <c r="A132" s="5" t="s">
        <v>5038</v>
      </c>
      <c r="B132" s="5" t="s">
        <v>5117</v>
      </c>
      <c r="C132" s="5" t="s">
        <v>5123</v>
      </c>
      <c r="D132" s="5" t="s">
        <v>4087</v>
      </c>
      <c r="E132" s="5" t="s">
        <v>4216</v>
      </c>
      <c r="F132" s="5" t="s">
        <v>4944</v>
      </c>
      <c r="G132" s="5" t="s">
        <v>5038</v>
      </c>
      <c r="H132" s="5" t="s">
        <v>5033</v>
      </c>
      <c r="I132" s="5" t="s">
        <v>1517</v>
      </c>
      <c r="J132" s="5"/>
      <c r="K132" s="5"/>
    </row>
    <row r="133" spans="1:11" ht="50.1" customHeight="1" x14ac:dyDescent="0.2">
      <c r="A133" s="5" t="s">
        <v>5040</v>
      </c>
      <c r="B133" s="5" t="s">
        <v>5117</v>
      </c>
      <c r="C133" s="5" t="s">
        <v>5124</v>
      </c>
      <c r="D133" s="5" t="s">
        <v>4092</v>
      </c>
      <c r="E133" s="5" t="s">
        <v>4216</v>
      </c>
      <c r="F133" s="5" t="s">
        <v>4944</v>
      </c>
      <c r="G133" s="5" t="s">
        <v>5040</v>
      </c>
      <c r="H133" s="5" t="s">
        <v>5033</v>
      </c>
      <c r="I133" s="5" t="s">
        <v>1517</v>
      </c>
      <c r="J133" s="5"/>
      <c r="K133" s="5"/>
    </row>
    <row r="134" spans="1:11" ht="50.1" customHeight="1" x14ac:dyDescent="0.2">
      <c r="A134" s="5" t="s">
        <v>5042</v>
      </c>
      <c r="B134" s="5" t="s">
        <v>5117</v>
      </c>
      <c r="C134" s="5" t="s">
        <v>5125</v>
      </c>
      <c r="D134" s="5" t="s">
        <v>4082</v>
      </c>
      <c r="E134" s="5" t="s">
        <v>4216</v>
      </c>
      <c r="F134" s="5" t="s">
        <v>4944</v>
      </c>
      <c r="G134" s="5" t="s">
        <v>5042</v>
      </c>
      <c r="H134" s="5" t="s">
        <v>5033</v>
      </c>
      <c r="I134" s="5" t="s">
        <v>1517</v>
      </c>
      <c r="J134" s="5"/>
      <c r="K134" s="5"/>
    </row>
    <row r="135" spans="1:11" ht="50.1" customHeight="1" x14ac:dyDescent="0.2">
      <c r="A135" s="5" t="s">
        <v>5044</v>
      </c>
      <c r="B135" s="5" t="s">
        <v>5117</v>
      </c>
      <c r="C135" s="5" t="s">
        <v>5126</v>
      </c>
      <c r="D135" s="5" t="s">
        <v>4096</v>
      </c>
      <c r="E135" s="5" t="s">
        <v>4216</v>
      </c>
      <c r="F135" s="5" t="s">
        <v>4944</v>
      </c>
      <c r="G135" s="5" t="s">
        <v>5044</v>
      </c>
      <c r="H135" s="5" t="s">
        <v>5033</v>
      </c>
      <c r="I135" s="5" t="s">
        <v>1517</v>
      </c>
      <c r="J135" s="5"/>
      <c r="K135" s="5"/>
    </row>
    <row r="136" spans="1:11" ht="50.1" customHeight="1" x14ac:dyDescent="0.2">
      <c r="A136" s="5" t="s">
        <v>5046</v>
      </c>
      <c r="B136" s="5" t="s">
        <v>5117</v>
      </c>
      <c r="C136" s="5" t="s">
        <v>5127</v>
      </c>
      <c r="D136" s="5" t="s">
        <v>4225</v>
      </c>
      <c r="E136" s="5" t="s">
        <v>4216</v>
      </c>
      <c r="F136" s="5" t="s">
        <v>4939</v>
      </c>
      <c r="G136" s="5" t="s">
        <v>5046</v>
      </c>
      <c r="H136" s="5" t="s">
        <v>5033</v>
      </c>
      <c r="I136" s="5" t="s">
        <v>1517</v>
      </c>
      <c r="J136" s="5"/>
      <c r="K136" s="5"/>
    </row>
    <row r="137" spans="1:11" ht="50.1" customHeight="1" x14ac:dyDescent="0.2">
      <c r="A137" s="5" t="s">
        <v>5048</v>
      </c>
      <c r="B137" s="5" t="s">
        <v>5117</v>
      </c>
      <c r="C137" s="5" t="s">
        <v>5128</v>
      </c>
      <c r="D137" s="5" t="s">
        <v>4221</v>
      </c>
      <c r="E137" s="5" t="s">
        <v>4228</v>
      </c>
      <c r="F137" s="5" t="s">
        <v>4944</v>
      </c>
      <c r="G137" s="5" t="s">
        <v>5048</v>
      </c>
      <c r="H137" s="5" t="s">
        <v>5033</v>
      </c>
      <c r="I137" s="5" t="s">
        <v>1517</v>
      </c>
      <c r="J137" s="5"/>
      <c r="K137" s="5"/>
    </row>
    <row r="138" spans="1:11" ht="50.1" customHeight="1" x14ac:dyDescent="0.2">
      <c r="A138" s="5" t="s">
        <v>5050</v>
      </c>
      <c r="B138" s="5" t="s">
        <v>5117</v>
      </c>
      <c r="C138" s="5" t="s">
        <v>5129</v>
      </c>
      <c r="D138" s="5" t="s">
        <v>4216</v>
      </c>
      <c r="E138" s="5" t="s">
        <v>4228</v>
      </c>
      <c r="F138" s="5" t="s">
        <v>4944</v>
      </c>
      <c r="G138" s="5" t="s">
        <v>5050</v>
      </c>
      <c r="H138" s="5" t="s">
        <v>5033</v>
      </c>
      <c r="I138" s="5" t="s">
        <v>1517</v>
      </c>
      <c r="J138" s="5"/>
      <c r="K138" s="5"/>
    </row>
    <row r="139" spans="1:11" ht="50.1" customHeight="1" x14ac:dyDescent="0.2">
      <c r="A139" s="5" t="s">
        <v>5052</v>
      </c>
      <c r="B139" s="5" t="s">
        <v>5117</v>
      </c>
      <c r="C139" s="5" t="s">
        <v>5130</v>
      </c>
      <c r="D139" s="5" t="s">
        <v>4225</v>
      </c>
      <c r="E139" s="5" t="s">
        <v>4228</v>
      </c>
      <c r="F139" s="5" t="s">
        <v>4944</v>
      </c>
      <c r="G139" s="5" t="s">
        <v>5052</v>
      </c>
      <c r="H139" s="5" t="s">
        <v>5033</v>
      </c>
      <c r="I139" s="5" t="s">
        <v>1517</v>
      </c>
      <c r="J139" s="5"/>
      <c r="K139" s="5"/>
    </row>
    <row r="140" spans="1:11" ht="50.1" customHeight="1" x14ac:dyDescent="0.2">
      <c r="A140" s="5" t="s">
        <v>5054</v>
      </c>
      <c r="B140" s="5" t="s">
        <v>5117</v>
      </c>
      <c r="C140" s="5" t="s">
        <v>5131</v>
      </c>
      <c r="D140" s="5" t="s">
        <v>4228</v>
      </c>
      <c r="E140" s="5" t="s">
        <v>4232</v>
      </c>
      <c r="F140" s="5" t="s">
        <v>4946</v>
      </c>
      <c r="G140" s="5" t="s">
        <v>5054</v>
      </c>
      <c r="H140" s="5" t="s">
        <v>5033</v>
      </c>
      <c r="I140" s="5" t="s">
        <v>1517</v>
      </c>
      <c r="J140" s="5"/>
      <c r="K140" s="5"/>
    </row>
    <row r="141" spans="1:11" ht="50.1" customHeight="1" x14ac:dyDescent="0.2">
      <c r="A141" s="5" t="s">
        <v>5030</v>
      </c>
      <c r="B141" s="5" t="s">
        <v>5117</v>
      </c>
      <c r="C141" s="5" t="s">
        <v>5132</v>
      </c>
      <c r="D141" s="5" t="s">
        <v>4236</v>
      </c>
      <c r="E141" s="5" t="s">
        <v>4240</v>
      </c>
      <c r="F141" s="5" t="s">
        <v>4939</v>
      </c>
      <c r="G141" s="5" t="s">
        <v>5030</v>
      </c>
      <c r="H141" s="5" t="s">
        <v>5033</v>
      </c>
      <c r="I141" s="5" t="s">
        <v>1517</v>
      </c>
      <c r="J141" s="5"/>
      <c r="K141" s="5"/>
    </row>
    <row r="142" spans="1:11" ht="50.1" customHeight="1" x14ac:dyDescent="0.2">
      <c r="A142" s="5" t="s">
        <v>5034</v>
      </c>
      <c r="B142" s="5" t="s">
        <v>5117</v>
      </c>
      <c r="C142" s="5" t="s">
        <v>5133</v>
      </c>
      <c r="D142" s="5" t="s">
        <v>4070</v>
      </c>
      <c r="E142" s="5" t="s">
        <v>4244</v>
      </c>
      <c r="F142" s="5" t="s">
        <v>1493</v>
      </c>
      <c r="G142" s="5" t="s">
        <v>5034</v>
      </c>
      <c r="H142" s="5" t="s">
        <v>5033</v>
      </c>
      <c r="I142" s="5" t="s">
        <v>1517</v>
      </c>
      <c r="J142" s="5"/>
      <c r="K142" s="5"/>
    </row>
    <row r="143" spans="1:11" ht="50.1" customHeight="1" x14ac:dyDescent="0.2">
      <c r="A143" s="5" t="s">
        <v>5036</v>
      </c>
      <c r="B143" s="5" t="s">
        <v>5117</v>
      </c>
      <c r="C143" s="5" t="s">
        <v>5134</v>
      </c>
      <c r="D143" s="5" t="s">
        <v>4066</v>
      </c>
      <c r="E143" s="5" t="s">
        <v>4247</v>
      </c>
      <c r="F143" s="5" t="s">
        <v>1493</v>
      </c>
      <c r="G143" s="5" t="s">
        <v>5036</v>
      </c>
      <c r="H143" s="5" t="s">
        <v>5033</v>
      </c>
      <c r="I143" s="5" t="s">
        <v>1517</v>
      </c>
      <c r="J143" s="5"/>
      <c r="K143" s="5"/>
    </row>
    <row r="144" spans="1:11" ht="50.1" customHeight="1" x14ac:dyDescent="0.2">
      <c r="A144" s="5" t="s">
        <v>5059</v>
      </c>
      <c r="B144" s="5" t="s">
        <v>5117</v>
      </c>
      <c r="C144" s="5" t="s">
        <v>5135</v>
      </c>
      <c r="D144" s="5" t="s">
        <v>4074</v>
      </c>
      <c r="E144" s="5" t="s">
        <v>4236</v>
      </c>
      <c r="F144" s="5" t="s">
        <v>4944</v>
      </c>
      <c r="G144" s="5" t="s">
        <v>5059</v>
      </c>
      <c r="H144" s="5" t="s">
        <v>5033</v>
      </c>
      <c r="I144" s="5" t="s">
        <v>1517</v>
      </c>
      <c r="J144" s="5"/>
      <c r="K144" s="5"/>
    </row>
    <row r="145" spans="1:11" ht="50.1" customHeight="1" x14ac:dyDescent="0.2">
      <c r="A145" s="5" t="s">
        <v>5061</v>
      </c>
      <c r="B145" s="5" t="s">
        <v>5117</v>
      </c>
      <c r="C145" s="5" t="s">
        <v>5136</v>
      </c>
      <c r="D145" s="5" t="s">
        <v>4078</v>
      </c>
      <c r="E145" s="5" t="s">
        <v>4236</v>
      </c>
      <c r="F145" s="5" t="s">
        <v>4944</v>
      </c>
      <c r="G145" s="5" t="s">
        <v>5061</v>
      </c>
      <c r="H145" s="5" t="s">
        <v>5033</v>
      </c>
      <c r="I145" s="5" t="s">
        <v>1517</v>
      </c>
      <c r="J145" s="5"/>
      <c r="K145" s="5"/>
    </row>
    <row r="146" spans="1:11" ht="50.1" customHeight="1" x14ac:dyDescent="0.2">
      <c r="A146" s="5" t="s">
        <v>5038</v>
      </c>
      <c r="B146" s="5" t="s">
        <v>5117</v>
      </c>
      <c r="C146" s="5" t="s">
        <v>5137</v>
      </c>
      <c r="D146" s="5" t="s">
        <v>4087</v>
      </c>
      <c r="E146" s="5" t="s">
        <v>4236</v>
      </c>
      <c r="F146" s="5" t="s">
        <v>4944</v>
      </c>
      <c r="G146" s="5" t="s">
        <v>5038</v>
      </c>
      <c r="H146" s="5" t="s">
        <v>5033</v>
      </c>
      <c r="I146" s="5" t="s">
        <v>1517</v>
      </c>
      <c r="J146" s="5"/>
      <c r="K146" s="5"/>
    </row>
    <row r="147" spans="1:11" ht="50.1" customHeight="1" x14ac:dyDescent="0.2">
      <c r="A147" s="5" t="s">
        <v>5040</v>
      </c>
      <c r="B147" s="5" t="s">
        <v>5117</v>
      </c>
      <c r="C147" s="5" t="s">
        <v>5138</v>
      </c>
      <c r="D147" s="5" t="s">
        <v>4092</v>
      </c>
      <c r="E147" s="5" t="s">
        <v>4236</v>
      </c>
      <c r="F147" s="5" t="s">
        <v>4944</v>
      </c>
      <c r="G147" s="5" t="s">
        <v>5040</v>
      </c>
      <c r="H147" s="5" t="s">
        <v>5033</v>
      </c>
      <c r="I147" s="5" t="s">
        <v>1517</v>
      </c>
      <c r="J147" s="5"/>
      <c r="K147" s="5"/>
    </row>
    <row r="148" spans="1:11" ht="50.1" customHeight="1" x14ac:dyDescent="0.2">
      <c r="A148" s="5" t="s">
        <v>5042</v>
      </c>
      <c r="B148" s="5" t="s">
        <v>5117</v>
      </c>
      <c r="C148" s="5" t="s">
        <v>5139</v>
      </c>
      <c r="D148" s="5" t="s">
        <v>4082</v>
      </c>
      <c r="E148" s="5" t="s">
        <v>4236</v>
      </c>
      <c r="F148" s="5" t="s">
        <v>4944</v>
      </c>
      <c r="G148" s="5" t="s">
        <v>5042</v>
      </c>
      <c r="H148" s="5" t="s">
        <v>5033</v>
      </c>
      <c r="I148" s="5" t="s">
        <v>1517</v>
      </c>
      <c r="J148" s="5"/>
      <c r="K148" s="5"/>
    </row>
    <row r="149" spans="1:11" ht="50.1" customHeight="1" x14ac:dyDescent="0.2">
      <c r="A149" s="5" t="s">
        <v>5044</v>
      </c>
      <c r="B149" s="5" t="s">
        <v>5117</v>
      </c>
      <c r="C149" s="5" t="s">
        <v>5140</v>
      </c>
      <c r="D149" s="5" t="s">
        <v>4096</v>
      </c>
      <c r="E149" s="5" t="s">
        <v>4236</v>
      </c>
      <c r="F149" s="5" t="s">
        <v>4944</v>
      </c>
      <c r="G149" s="5" t="s">
        <v>5044</v>
      </c>
      <c r="H149" s="5" t="s">
        <v>5033</v>
      </c>
      <c r="I149" s="5" t="s">
        <v>1517</v>
      </c>
      <c r="J149" s="5"/>
      <c r="K149" s="5"/>
    </row>
    <row r="150" spans="1:11" ht="50.1" customHeight="1" x14ac:dyDescent="0.2">
      <c r="A150" s="5" t="s">
        <v>5046</v>
      </c>
      <c r="B150" s="5" t="s">
        <v>5117</v>
      </c>
      <c r="C150" s="5" t="s">
        <v>5141</v>
      </c>
      <c r="D150" s="5" t="s">
        <v>4244</v>
      </c>
      <c r="E150" s="5" t="s">
        <v>4236</v>
      </c>
      <c r="F150" s="5" t="s">
        <v>4939</v>
      </c>
      <c r="G150" s="5" t="s">
        <v>5046</v>
      </c>
      <c r="H150" s="5" t="s">
        <v>5033</v>
      </c>
      <c r="I150" s="5" t="s">
        <v>1517</v>
      </c>
      <c r="J150" s="5"/>
      <c r="K150" s="5"/>
    </row>
    <row r="151" spans="1:11" ht="50.1" customHeight="1" x14ac:dyDescent="0.2">
      <c r="A151" s="5" t="s">
        <v>5048</v>
      </c>
      <c r="B151" s="5" t="s">
        <v>5117</v>
      </c>
      <c r="C151" s="5" t="s">
        <v>5142</v>
      </c>
      <c r="D151" s="5" t="s">
        <v>4240</v>
      </c>
      <c r="E151" s="5" t="s">
        <v>4247</v>
      </c>
      <c r="F151" s="5" t="s">
        <v>4944</v>
      </c>
      <c r="G151" s="5" t="s">
        <v>5048</v>
      </c>
      <c r="H151" s="5" t="s">
        <v>5033</v>
      </c>
      <c r="I151" s="5" t="s">
        <v>1517</v>
      </c>
      <c r="J151" s="5"/>
      <c r="K151" s="5"/>
    </row>
    <row r="152" spans="1:11" ht="50.1" customHeight="1" x14ac:dyDescent="0.2">
      <c r="A152" s="5" t="s">
        <v>5050</v>
      </c>
      <c r="B152" s="5" t="s">
        <v>5117</v>
      </c>
      <c r="C152" s="5" t="s">
        <v>5143</v>
      </c>
      <c r="D152" s="5" t="s">
        <v>4236</v>
      </c>
      <c r="E152" s="5" t="s">
        <v>4247</v>
      </c>
      <c r="F152" s="5" t="s">
        <v>4944</v>
      </c>
      <c r="G152" s="5" t="s">
        <v>5050</v>
      </c>
      <c r="H152" s="5" t="s">
        <v>5033</v>
      </c>
      <c r="I152" s="5" t="s">
        <v>1517</v>
      </c>
      <c r="J152" s="5"/>
      <c r="K152" s="5"/>
    </row>
    <row r="153" spans="1:11" ht="50.1" customHeight="1" x14ac:dyDescent="0.2">
      <c r="A153" s="5" t="s">
        <v>5052</v>
      </c>
      <c r="B153" s="5" t="s">
        <v>5117</v>
      </c>
      <c r="C153" s="5" t="s">
        <v>5144</v>
      </c>
      <c r="D153" s="5" t="s">
        <v>4244</v>
      </c>
      <c r="E153" s="5" t="s">
        <v>4247</v>
      </c>
      <c r="F153" s="5" t="s">
        <v>4944</v>
      </c>
      <c r="G153" s="5" t="s">
        <v>5052</v>
      </c>
      <c r="H153" s="5" t="s">
        <v>5033</v>
      </c>
      <c r="I153" s="5" t="s">
        <v>1517</v>
      </c>
      <c r="J153" s="5"/>
      <c r="K153" s="5"/>
    </row>
    <row r="154" spans="1:11" ht="50.1" customHeight="1" x14ac:dyDescent="0.2">
      <c r="A154" s="5" t="s">
        <v>5054</v>
      </c>
      <c r="B154" s="5" t="s">
        <v>5117</v>
      </c>
      <c r="C154" s="5" t="s">
        <v>5145</v>
      </c>
      <c r="D154" s="5" t="s">
        <v>4247</v>
      </c>
      <c r="E154" s="5" t="s">
        <v>4251</v>
      </c>
      <c r="F154" s="5" t="s">
        <v>4946</v>
      </c>
      <c r="G154" s="5" t="s">
        <v>5054</v>
      </c>
      <c r="H154" s="5" t="s">
        <v>5033</v>
      </c>
      <c r="I154" s="5" t="s">
        <v>1517</v>
      </c>
      <c r="J154" s="5"/>
      <c r="K154" s="5"/>
    </row>
    <row r="155" spans="1:11" ht="50.1" customHeight="1" x14ac:dyDescent="0.2">
      <c r="A155" s="5" t="s">
        <v>5146</v>
      </c>
      <c r="B155" s="5" t="s">
        <v>5147</v>
      </c>
      <c r="C155" s="5" t="s">
        <v>5148</v>
      </c>
      <c r="D155" s="5" t="s">
        <v>4125</v>
      </c>
      <c r="E155" s="5" t="s">
        <v>4256</v>
      </c>
      <c r="F155" s="5" t="s">
        <v>4944</v>
      </c>
      <c r="G155" s="5" t="s">
        <v>5149</v>
      </c>
      <c r="H155" s="5" t="s">
        <v>5150</v>
      </c>
      <c r="I155" s="5" t="s">
        <v>1517</v>
      </c>
      <c r="J155" s="5"/>
      <c r="K155" s="5"/>
    </row>
    <row r="156" spans="1:11" ht="50.1" customHeight="1" x14ac:dyDescent="0.2">
      <c r="A156" s="5" t="s">
        <v>5151</v>
      </c>
      <c r="B156" s="5" t="s">
        <v>5147</v>
      </c>
      <c r="C156" s="5" t="s">
        <v>5152</v>
      </c>
      <c r="D156" s="5" t="s">
        <v>4165</v>
      </c>
      <c r="E156" s="5" t="s">
        <v>4256</v>
      </c>
      <c r="F156" s="5" t="s">
        <v>4944</v>
      </c>
      <c r="G156" s="5" t="s">
        <v>5149</v>
      </c>
      <c r="H156" s="5" t="s">
        <v>5150</v>
      </c>
      <c r="I156" s="5" t="s">
        <v>1517</v>
      </c>
      <c r="J156" s="5"/>
      <c r="K156" s="5"/>
    </row>
    <row r="157" spans="1:11" ht="50.1" customHeight="1" x14ac:dyDescent="0.2">
      <c r="A157" s="5" t="s">
        <v>5153</v>
      </c>
      <c r="B157" s="5" t="s">
        <v>5147</v>
      </c>
      <c r="C157" s="5" t="s">
        <v>5154</v>
      </c>
      <c r="D157" s="5" t="s">
        <v>4144</v>
      </c>
      <c r="E157" s="5" t="s">
        <v>4256</v>
      </c>
      <c r="F157" s="5" t="s">
        <v>4944</v>
      </c>
      <c r="G157" s="5" t="s">
        <v>5149</v>
      </c>
      <c r="H157" s="5" t="s">
        <v>5150</v>
      </c>
      <c r="I157" s="5" t="s">
        <v>1517</v>
      </c>
      <c r="J157" s="5"/>
      <c r="K157" s="5"/>
    </row>
    <row r="158" spans="1:11" ht="50.1" customHeight="1" x14ac:dyDescent="0.2">
      <c r="A158" s="5" t="s">
        <v>5155</v>
      </c>
      <c r="B158" s="5" t="s">
        <v>5147</v>
      </c>
      <c r="C158" s="5" t="s">
        <v>5156</v>
      </c>
      <c r="D158" s="5" t="s">
        <v>4186</v>
      </c>
      <c r="E158" s="5" t="s">
        <v>4256</v>
      </c>
      <c r="F158" s="5" t="s">
        <v>4944</v>
      </c>
      <c r="G158" s="5" t="s">
        <v>5149</v>
      </c>
      <c r="H158" s="5" t="s">
        <v>5150</v>
      </c>
      <c r="I158" s="5" t="s">
        <v>1517</v>
      </c>
      <c r="J158" s="5"/>
      <c r="K158" s="5"/>
    </row>
    <row r="159" spans="1:11" ht="50.1" customHeight="1" x14ac:dyDescent="0.2">
      <c r="A159" s="5" t="s">
        <v>5157</v>
      </c>
      <c r="B159" s="5" t="s">
        <v>5147</v>
      </c>
      <c r="C159" s="5" t="s">
        <v>5158</v>
      </c>
      <c r="D159" s="5" t="s">
        <v>4207</v>
      </c>
      <c r="E159" s="5" t="s">
        <v>4256</v>
      </c>
      <c r="F159" s="5" t="s">
        <v>4944</v>
      </c>
      <c r="G159" s="5" t="s">
        <v>5149</v>
      </c>
      <c r="H159" s="5" t="s">
        <v>5150</v>
      </c>
      <c r="I159" s="5" t="s">
        <v>1517</v>
      </c>
      <c r="J159" s="5"/>
      <c r="K159" s="5"/>
    </row>
    <row r="160" spans="1:11" ht="50.1" customHeight="1" x14ac:dyDescent="0.2">
      <c r="A160" s="5" t="s">
        <v>5159</v>
      </c>
      <c r="B160" s="5" t="s">
        <v>5147</v>
      </c>
      <c r="C160" s="5" t="s">
        <v>5160</v>
      </c>
      <c r="D160" s="5" t="s">
        <v>4228</v>
      </c>
      <c r="E160" s="5" t="s">
        <v>4256</v>
      </c>
      <c r="F160" s="5" t="s">
        <v>4944</v>
      </c>
      <c r="G160" s="5" t="s">
        <v>5149</v>
      </c>
      <c r="H160" s="5" t="s">
        <v>5150</v>
      </c>
      <c r="I160" s="5" t="s">
        <v>1517</v>
      </c>
      <c r="J160" s="5"/>
      <c r="K160" s="5"/>
    </row>
    <row r="161" spans="1:11" ht="50.1" customHeight="1" x14ac:dyDescent="0.2">
      <c r="A161" s="5" t="s">
        <v>5161</v>
      </c>
      <c r="B161" s="5" t="s">
        <v>5147</v>
      </c>
      <c r="C161" s="5" t="s">
        <v>5162</v>
      </c>
      <c r="D161" s="5" t="s">
        <v>4247</v>
      </c>
      <c r="E161" s="5" t="s">
        <v>4256</v>
      </c>
      <c r="F161" s="5" t="s">
        <v>4944</v>
      </c>
      <c r="G161" s="5" t="s">
        <v>5149</v>
      </c>
      <c r="H161" s="5" t="s">
        <v>5150</v>
      </c>
      <c r="I161" s="5" t="s">
        <v>1517</v>
      </c>
      <c r="J161" s="5"/>
      <c r="K161" s="5"/>
    </row>
    <row r="162" spans="1:11" ht="50.1" customHeight="1" x14ac:dyDescent="0.2">
      <c r="A162" s="5" t="s">
        <v>5163</v>
      </c>
      <c r="B162" s="5" t="s">
        <v>5164</v>
      </c>
      <c r="C162" s="5" t="s">
        <v>5165</v>
      </c>
      <c r="D162" s="5" t="s">
        <v>4265</v>
      </c>
      <c r="E162" s="5" t="s">
        <v>4270</v>
      </c>
      <c r="F162" s="5" t="s">
        <v>4944</v>
      </c>
      <c r="G162" s="5" t="s">
        <v>5163</v>
      </c>
      <c r="H162" s="5" t="s">
        <v>5166</v>
      </c>
      <c r="I162" s="5" t="s">
        <v>1517</v>
      </c>
      <c r="J162" s="5"/>
      <c r="K162" s="5"/>
    </row>
    <row r="163" spans="1:11" ht="50.1" customHeight="1" x14ac:dyDescent="0.2">
      <c r="A163" s="5" t="s">
        <v>5167</v>
      </c>
      <c r="B163" s="5" t="s">
        <v>5164</v>
      </c>
      <c r="C163" s="5" t="s">
        <v>5168</v>
      </c>
      <c r="D163" s="5" t="s">
        <v>4270</v>
      </c>
      <c r="E163" s="5" t="s">
        <v>4367</v>
      </c>
      <c r="F163" s="5" t="s">
        <v>4944</v>
      </c>
      <c r="G163" s="5" t="s">
        <v>5167</v>
      </c>
      <c r="H163" s="5" t="s">
        <v>5166</v>
      </c>
      <c r="I163" s="5" t="s">
        <v>1517</v>
      </c>
      <c r="J163" s="5"/>
      <c r="K163" s="5"/>
    </row>
    <row r="164" spans="1:11" ht="50.1" customHeight="1" x14ac:dyDescent="0.2">
      <c r="A164" s="5" t="s">
        <v>5169</v>
      </c>
      <c r="B164" s="5" t="s">
        <v>5164</v>
      </c>
      <c r="C164" s="5" t="s">
        <v>5170</v>
      </c>
      <c r="D164" s="5" t="s">
        <v>4275</v>
      </c>
      <c r="E164" s="5" t="s">
        <v>4367</v>
      </c>
      <c r="F164" s="5" t="s">
        <v>4944</v>
      </c>
      <c r="G164" s="5" t="s">
        <v>5169</v>
      </c>
      <c r="H164" s="5" t="s">
        <v>5166</v>
      </c>
      <c r="I164" s="5" t="s">
        <v>1517</v>
      </c>
      <c r="J164" s="5"/>
      <c r="K164" s="5"/>
    </row>
    <row r="165" spans="1:11" ht="50.1" customHeight="1" x14ac:dyDescent="0.2">
      <c r="A165" s="5" t="s">
        <v>5171</v>
      </c>
      <c r="B165" s="5" t="s">
        <v>5164</v>
      </c>
      <c r="C165" s="5" t="s">
        <v>5172</v>
      </c>
      <c r="D165" s="5" t="s">
        <v>4265</v>
      </c>
      <c r="E165" s="5" t="s">
        <v>4279</v>
      </c>
      <c r="F165" s="5" t="s">
        <v>4944</v>
      </c>
      <c r="G165" s="5" t="s">
        <v>5171</v>
      </c>
      <c r="H165" s="5" t="s">
        <v>5166</v>
      </c>
      <c r="I165" s="5" t="s">
        <v>1517</v>
      </c>
      <c r="J165" s="5"/>
      <c r="K165" s="5"/>
    </row>
    <row r="166" spans="1:11" ht="50.1" customHeight="1" x14ac:dyDescent="0.2">
      <c r="A166" s="5" t="s">
        <v>5173</v>
      </c>
      <c r="B166" s="5" t="s">
        <v>5164</v>
      </c>
      <c r="C166" s="5" t="s">
        <v>5174</v>
      </c>
      <c r="D166" s="5" t="s">
        <v>4279</v>
      </c>
      <c r="E166" s="5" t="s">
        <v>4367</v>
      </c>
      <c r="F166" s="5" t="s">
        <v>4944</v>
      </c>
      <c r="G166" s="5" t="s">
        <v>5173</v>
      </c>
      <c r="H166" s="5" t="s">
        <v>5166</v>
      </c>
      <c r="I166" s="5" t="s">
        <v>1517</v>
      </c>
      <c r="J166" s="5"/>
      <c r="K166" s="5"/>
    </row>
    <row r="167" spans="1:11" ht="50.1" customHeight="1" x14ac:dyDescent="0.2">
      <c r="A167" s="5" t="s">
        <v>5175</v>
      </c>
      <c r="B167" s="5" t="s">
        <v>5164</v>
      </c>
      <c r="C167" s="5" t="s">
        <v>5176</v>
      </c>
      <c r="D167" s="5" t="s">
        <v>4283</v>
      </c>
      <c r="E167" s="5" t="s">
        <v>4367</v>
      </c>
      <c r="F167" s="5" t="s">
        <v>4944</v>
      </c>
      <c r="G167" s="5" t="s">
        <v>5175</v>
      </c>
      <c r="H167" s="5" t="s">
        <v>5166</v>
      </c>
      <c r="I167" s="5" t="s">
        <v>1517</v>
      </c>
      <c r="J167" s="5"/>
      <c r="K167" s="5"/>
    </row>
    <row r="168" spans="1:11" ht="50.1" customHeight="1" x14ac:dyDescent="0.2">
      <c r="A168" s="5" t="s">
        <v>5177</v>
      </c>
      <c r="B168" s="5" t="s">
        <v>5164</v>
      </c>
      <c r="C168" s="5" t="s">
        <v>5178</v>
      </c>
      <c r="D168" s="5" t="s">
        <v>4265</v>
      </c>
      <c r="E168" s="5" t="s">
        <v>4287</v>
      </c>
      <c r="F168" s="5" t="s">
        <v>4944</v>
      </c>
      <c r="G168" s="5" t="s">
        <v>5177</v>
      </c>
      <c r="H168" s="5" t="s">
        <v>5166</v>
      </c>
      <c r="I168" s="5" t="s">
        <v>1517</v>
      </c>
      <c r="J168" s="5"/>
      <c r="K168" s="5"/>
    </row>
    <row r="169" spans="1:11" ht="50.1" customHeight="1" x14ac:dyDescent="0.2">
      <c r="A169" s="5" t="s">
        <v>5179</v>
      </c>
      <c r="B169" s="5" t="s">
        <v>5164</v>
      </c>
      <c r="C169" s="5" t="s">
        <v>5180</v>
      </c>
      <c r="D169" s="5" t="s">
        <v>4287</v>
      </c>
      <c r="E169" s="5" t="s">
        <v>4367</v>
      </c>
      <c r="F169" s="5" t="s">
        <v>4944</v>
      </c>
      <c r="G169" s="5" t="s">
        <v>5179</v>
      </c>
      <c r="H169" s="5" t="s">
        <v>5166</v>
      </c>
      <c r="I169" s="5" t="s">
        <v>1517</v>
      </c>
      <c r="J169" s="5"/>
      <c r="K169" s="5"/>
    </row>
    <row r="170" spans="1:11" ht="50.1" customHeight="1" x14ac:dyDescent="0.2">
      <c r="A170" s="5" t="s">
        <v>5181</v>
      </c>
      <c r="B170" s="5" t="s">
        <v>5164</v>
      </c>
      <c r="C170" s="5" t="s">
        <v>5182</v>
      </c>
      <c r="D170" s="5" t="s">
        <v>4291</v>
      </c>
      <c r="E170" s="5" t="s">
        <v>4367</v>
      </c>
      <c r="F170" s="5" t="s">
        <v>4944</v>
      </c>
      <c r="G170" s="5" t="s">
        <v>5181</v>
      </c>
      <c r="H170" s="5" t="s">
        <v>5166</v>
      </c>
      <c r="I170" s="5" t="s">
        <v>1517</v>
      </c>
      <c r="J170" s="5"/>
      <c r="K170" s="5"/>
    </row>
    <row r="171" spans="1:11" ht="50.1" customHeight="1" x14ac:dyDescent="0.2">
      <c r="A171" s="5" t="s">
        <v>5183</v>
      </c>
      <c r="B171" s="5" t="s">
        <v>5164</v>
      </c>
      <c r="C171" s="5" t="s">
        <v>5184</v>
      </c>
      <c r="D171" s="5" t="s">
        <v>4265</v>
      </c>
      <c r="E171" s="5" t="s">
        <v>4295</v>
      </c>
      <c r="F171" s="5" t="s">
        <v>4944</v>
      </c>
      <c r="G171" s="5" t="s">
        <v>5183</v>
      </c>
      <c r="H171" s="5" t="s">
        <v>5166</v>
      </c>
      <c r="I171" s="5" t="s">
        <v>1517</v>
      </c>
      <c r="J171" s="5"/>
      <c r="K171" s="5"/>
    </row>
    <row r="172" spans="1:11" ht="50.1" customHeight="1" x14ac:dyDescent="0.2">
      <c r="A172" s="5" t="s">
        <v>5185</v>
      </c>
      <c r="B172" s="5" t="s">
        <v>5164</v>
      </c>
      <c r="C172" s="5" t="s">
        <v>5186</v>
      </c>
      <c r="D172" s="5" t="s">
        <v>4295</v>
      </c>
      <c r="E172" s="5" t="s">
        <v>4367</v>
      </c>
      <c r="F172" s="5" t="s">
        <v>4944</v>
      </c>
      <c r="G172" s="5" t="s">
        <v>5185</v>
      </c>
      <c r="H172" s="5" t="s">
        <v>5166</v>
      </c>
      <c r="I172" s="5" t="s">
        <v>1517</v>
      </c>
      <c r="J172" s="5"/>
      <c r="K172" s="5"/>
    </row>
    <row r="173" spans="1:11" ht="50.1" customHeight="1" x14ac:dyDescent="0.2">
      <c r="A173" s="5" t="s">
        <v>5187</v>
      </c>
      <c r="B173" s="5" t="s">
        <v>5164</v>
      </c>
      <c r="C173" s="5" t="s">
        <v>5188</v>
      </c>
      <c r="D173" s="5" t="s">
        <v>4299</v>
      </c>
      <c r="E173" s="5" t="s">
        <v>4367</v>
      </c>
      <c r="F173" s="5" t="s">
        <v>4944</v>
      </c>
      <c r="G173" s="5" t="s">
        <v>5187</v>
      </c>
      <c r="H173" s="5" t="s">
        <v>5166</v>
      </c>
      <c r="I173" s="5" t="s">
        <v>1517</v>
      </c>
      <c r="J173" s="5"/>
      <c r="K173" s="5"/>
    </row>
    <row r="174" spans="1:11" ht="50.1" customHeight="1" x14ac:dyDescent="0.2">
      <c r="A174" s="5" t="s">
        <v>5189</v>
      </c>
      <c r="B174" s="5" t="s">
        <v>5164</v>
      </c>
      <c r="C174" s="5" t="s">
        <v>5190</v>
      </c>
      <c r="D174" s="5" t="s">
        <v>4265</v>
      </c>
      <c r="E174" s="5" t="s">
        <v>4303</v>
      </c>
      <c r="F174" s="5" t="s">
        <v>4944</v>
      </c>
      <c r="G174" s="5" t="s">
        <v>5189</v>
      </c>
      <c r="H174" s="5" t="s">
        <v>5166</v>
      </c>
      <c r="I174" s="5" t="s">
        <v>1517</v>
      </c>
      <c r="J174" s="5"/>
      <c r="K174" s="5"/>
    </row>
    <row r="175" spans="1:11" ht="50.1" customHeight="1" x14ac:dyDescent="0.2">
      <c r="A175" s="5" t="s">
        <v>5191</v>
      </c>
      <c r="B175" s="5" t="s">
        <v>5164</v>
      </c>
      <c r="C175" s="5" t="s">
        <v>5192</v>
      </c>
      <c r="D175" s="5" t="s">
        <v>4303</v>
      </c>
      <c r="E175" s="5" t="s">
        <v>4367</v>
      </c>
      <c r="F175" s="5" t="s">
        <v>4944</v>
      </c>
      <c r="G175" s="5" t="s">
        <v>5191</v>
      </c>
      <c r="H175" s="5" t="s">
        <v>5166</v>
      </c>
      <c r="I175" s="5" t="s">
        <v>1517</v>
      </c>
      <c r="J175" s="5"/>
      <c r="K175" s="5"/>
    </row>
    <row r="176" spans="1:11" ht="50.1" customHeight="1" x14ac:dyDescent="0.2">
      <c r="A176" s="5" t="s">
        <v>5193</v>
      </c>
      <c r="B176" s="5" t="s">
        <v>5164</v>
      </c>
      <c r="C176" s="5" t="s">
        <v>5194</v>
      </c>
      <c r="D176" s="5" t="s">
        <v>4307</v>
      </c>
      <c r="E176" s="5" t="s">
        <v>4367</v>
      </c>
      <c r="F176" s="5" t="s">
        <v>4944</v>
      </c>
      <c r="G176" s="5" t="s">
        <v>5193</v>
      </c>
      <c r="H176" s="5" t="s">
        <v>5166</v>
      </c>
      <c r="I176" s="5" t="s">
        <v>1517</v>
      </c>
      <c r="J176" s="5"/>
      <c r="K176" s="5"/>
    </row>
    <row r="177" spans="1:11" ht="50.1" customHeight="1" x14ac:dyDescent="0.2">
      <c r="A177" s="5" t="s">
        <v>5195</v>
      </c>
      <c r="B177" s="5" t="s">
        <v>5164</v>
      </c>
      <c r="C177" s="5" t="s">
        <v>5196</v>
      </c>
      <c r="D177" s="5" t="s">
        <v>4265</v>
      </c>
      <c r="E177" s="5" t="s">
        <v>4311</v>
      </c>
      <c r="F177" s="5" t="s">
        <v>4944</v>
      </c>
      <c r="G177" s="5" t="s">
        <v>5195</v>
      </c>
      <c r="H177" s="5" t="s">
        <v>5166</v>
      </c>
      <c r="I177" s="5" t="s">
        <v>1517</v>
      </c>
      <c r="J177" s="5"/>
      <c r="K177" s="5"/>
    </row>
    <row r="178" spans="1:11" ht="50.1" customHeight="1" x14ac:dyDescent="0.2">
      <c r="A178" s="5" t="s">
        <v>5197</v>
      </c>
      <c r="B178" s="5" t="s">
        <v>5164</v>
      </c>
      <c r="C178" s="5" t="s">
        <v>5198</v>
      </c>
      <c r="D178" s="5" t="s">
        <v>4311</v>
      </c>
      <c r="E178" s="5" t="s">
        <v>4367</v>
      </c>
      <c r="F178" s="5" t="s">
        <v>4944</v>
      </c>
      <c r="G178" s="5" t="s">
        <v>5197</v>
      </c>
      <c r="H178" s="5" t="s">
        <v>5166</v>
      </c>
      <c r="I178" s="5" t="s">
        <v>1517</v>
      </c>
      <c r="J178" s="5"/>
      <c r="K178" s="5"/>
    </row>
    <row r="179" spans="1:11" ht="50.1" customHeight="1" x14ac:dyDescent="0.2">
      <c r="A179" s="5" t="s">
        <v>5199</v>
      </c>
      <c r="B179" s="5" t="s">
        <v>5164</v>
      </c>
      <c r="C179" s="5" t="s">
        <v>5200</v>
      </c>
      <c r="D179" s="5" t="s">
        <v>4315</v>
      </c>
      <c r="E179" s="5" t="s">
        <v>4367</v>
      </c>
      <c r="F179" s="5" t="s">
        <v>4944</v>
      </c>
      <c r="G179" s="5" t="s">
        <v>5199</v>
      </c>
      <c r="H179" s="5" t="s">
        <v>5166</v>
      </c>
      <c r="I179" s="5" t="s">
        <v>1517</v>
      </c>
      <c r="J179" s="5"/>
      <c r="K179" s="5"/>
    </row>
    <row r="180" spans="1:11" ht="50.1" customHeight="1" x14ac:dyDescent="0.2">
      <c r="A180" s="5" t="s">
        <v>5201</v>
      </c>
      <c r="B180" s="5" t="s">
        <v>5164</v>
      </c>
      <c r="C180" s="5" t="s">
        <v>5202</v>
      </c>
      <c r="D180" s="5" t="s">
        <v>4265</v>
      </c>
      <c r="E180" s="5" t="s">
        <v>4319</v>
      </c>
      <c r="F180" s="5" t="s">
        <v>4944</v>
      </c>
      <c r="G180" s="5" t="s">
        <v>5201</v>
      </c>
      <c r="H180" s="5" t="s">
        <v>5166</v>
      </c>
      <c r="I180" s="5" t="s">
        <v>1517</v>
      </c>
      <c r="J180" s="5"/>
      <c r="K180" s="5"/>
    </row>
    <row r="181" spans="1:11" ht="50.1" customHeight="1" x14ac:dyDescent="0.2">
      <c r="A181" s="5" t="s">
        <v>5203</v>
      </c>
      <c r="B181" s="5" t="s">
        <v>5164</v>
      </c>
      <c r="C181" s="5" t="s">
        <v>5204</v>
      </c>
      <c r="D181" s="5" t="s">
        <v>4319</v>
      </c>
      <c r="E181" s="5" t="s">
        <v>4367</v>
      </c>
      <c r="F181" s="5" t="s">
        <v>4944</v>
      </c>
      <c r="G181" s="5" t="s">
        <v>5203</v>
      </c>
      <c r="H181" s="5" t="s">
        <v>5166</v>
      </c>
      <c r="I181" s="5" t="s">
        <v>1517</v>
      </c>
      <c r="J181" s="5"/>
      <c r="K181" s="5"/>
    </row>
    <row r="182" spans="1:11" ht="50.1" customHeight="1" x14ac:dyDescent="0.2">
      <c r="A182" s="5" t="s">
        <v>5205</v>
      </c>
      <c r="B182" s="5" t="s">
        <v>5164</v>
      </c>
      <c r="C182" s="5" t="s">
        <v>5206</v>
      </c>
      <c r="D182" s="5" t="s">
        <v>4323</v>
      </c>
      <c r="E182" s="5" t="s">
        <v>4367</v>
      </c>
      <c r="F182" s="5" t="s">
        <v>4944</v>
      </c>
      <c r="G182" s="5" t="s">
        <v>5205</v>
      </c>
      <c r="H182" s="5" t="s">
        <v>5166</v>
      </c>
      <c r="I182" s="5" t="s">
        <v>1517</v>
      </c>
      <c r="J182" s="5"/>
      <c r="K182" s="5"/>
    </row>
    <row r="183" spans="1:11" ht="50.1" customHeight="1" x14ac:dyDescent="0.2">
      <c r="A183" s="5" t="s">
        <v>5207</v>
      </c>
      <c r="B183" s="5" t="s">
        <v>5164</v>
      </c>
      <c r="C183" s="5" t="s">
        <v>5208</v>
      </c>
      <c r="D183" s="5" t="s">
        <v>4265</v>
      </c>
      <c r="E183" s="5" t="s">
        <v>4327</v>
      </c>
      <c r="F183" s="5" t="s">
        <v>4944</v>
      </c>
      <c r="G183" s="5" t="s">
        <v>5207</v>
      </c>
      <c r="H183" s="5" t="s">
        <v>5166</v>
      </c>
      <c r="I183" s="5" t="s">
        <v>1517</v>
      </c>
      <c r="J183" s="5"/>
      <c r="K183" s="5"/>
    </row>
    <row r="184" spans="1:11" ht="50.1" customHeight="1" x14ac:dyDescent="0.2">
      <c r="A184" s="5" t="s">
        <v>5209</v>
      </c>
      <c r="B184" s="5" t="s">
        <v>5164</v>
      </c>
      <c r="C184" s="5" t="s">
        <v>5210</v>
      </c>
      <c r="D184" s="5" t="s">
        <v>4327</v>
      </c>
      <c r="E184" s="5" t="s">
        <v>4367</v>
      </c>
      <c r="F184" s="5" t="s">
        <v>4944</v>
      </c>
      <c r="G184" s="5" t="s">
        <v>5209</v>
      </c>
      <c r="H184" s="5" t="s">
        <v>5166</v>
      </c>
      <c r="I184" s="5" t="s">
        <v>1517</v>
      </c>
      <c r="J184" s="5"/>
      <c r="K184" s="5"/>
    </row>
    <row r="185" spans="1:11" ht="50.1" customHeight="1" x14ac:dyDescent="0.2">
      <c r="A185" s="5" t="s">
        <v>5211</v>
      </c>
      <c r="B185" s="5" t="s">
        <v>5164</v>
      </c>
      <c r="C185" s="5" t="s">
        <v>5212</v>
      </c>
      <c r="D185" s="5" t="s">
        <v>4331</v>
      </c>
      <c r="E185" s="5" t="s">
        <v>4367</v>
      </c>
      <c r="F185" s="5" t="s">
        <v>4944</v>
      </c>
      <c r="G185" s="5" t="s">
        <v>5211</v>
      </c>
      <c r="H185" s="5" t="s">
        <v>5166</v>
      </c>
      <c r="I185" s="5" t="s">
        <v>1517</v>
      </c>
      <c r="J185" s="5"/>
      <c r="K185" s="5"/>
    </row>
    <row r="186" spans="1:11" ht="50.1" customHeight="1" x14ac:dyDescent="0.2">
      <c r="A186" s="5" t="s">
        <v>5213</v>
      </c>
      <c r="B186" s="5" t="s">
        <v>5164</v>
      </c>
      <c r="C186" s="5" t="s">
        <v>5214</v>
      </c>
      <c r="D186" s="5" t="s">
        <v>4265</v>
      </c>
      <c r="E186" s="5" t="s">
        <v>4335</v>
      </c>
      <c r="F186" s="5" t="s">
        <v>4944</v>
      </c>
      <c r="G186" s="5" t="s">
        <v>5213</v>
      </c>
      <c r="H186" s="5" t="s">
        <v>5166</v>
      </c>
      <c r="I186" s="5" t="s">
        <v>1517</v>
      </c>
      <c r="J186" s="5"/>
      <c r="K186" s="5"/>
    </row>
    <row r="187" spans="1:11" ht="50.1" customHeight="1" x14ac:dyDescent="0.2">
      <c r="A187" s="5" t="s">
        <v>5215</v>
      </c>
      <c r="B187" s="5" t="s">
        <v>5164</v>
      </c>
      <c r="C187" s="5" t="s">
        <v>5216</v>
      </c>
      <c r="D187" s="5" t="s">
        <v>4335</v>
      </c>
      <c r="E187" s="5" t="s">
        <v>4367</v>
      </c>
      <c r="F187" s="5" t="s">
        <v>4944</v>
      </c>
      <c r="G187" s="5" t="s">
        <v>5215</v>
      </c>
      <c r="H187" s="5" t="s">
        <v>5166</v>
      </c>
      <c r="I187" s="5" t="s">
        <v>1517</v>
      </c>
      <c r="J187" s="5"/>
      <c r="K187" s="5"/>
    </row>
    <row r="188" spans="1:11" ht="50.1" customHeight="1" x14ac:dyDescent="0.2">
      <c r="A188" s="5" t="s">
        <v>5217</v>
      </c>
      <c r="B188" s="5" t="s">
        <v>5164</v>
      </c>
      <c r="C188" s="5" t="s">
        <v>5218</v>
      </c>
      <c r="D188" s="5" t="s">
        <v>4339</v>
      </c>
      <c r="E188" s="5" t="s">
        <v>4367</v>
      </c>
      <c r="F188" s="5" t="s">
        <v>4944</v>
      </c>
      <c r="G188" s="5" t="s">
        <v>5217</v>
      </c>
      <c r="H188" s="5" t="s">
        <v>5166</v>
      </c>
      <c r="I188" s="5" t="s">
        <v>1517</v>
      </c>
      <c r="J188" s="5"/>
      <c r="K188" s="5"/>
    </row>
    <row r="189" spans="1:11" ht="50.1" customHeight="1" x14ac:dyDescent="0.2">
      <c r="A189" s="5" t="s">
        <v>5219</v>
      </c>
      <c r="B189" s="5" t="s">
        <v>5164</v>
      </c>
      <c r="C189" s="5" t="s">
        <v>5220</v>
      </c>
      <c r="D189" s="5" t="s">
        <v>4265</v>
      </c>
      <c r="E189" s="5" t="s">
        <v>4343</v>
      </c>
      <c r="F189" s="5" t="s">
        <v>4944</v>
      </c>
      <c r="G189" s="5" t="s">
        <v>5219</v>
      </c>
      <c r="H189" s="5" t="s">
        <v>5166</v>
      </c>
      <c r="I189" s="5" t="s">
        <v>1517</v>
      </c>
      <c r="J189" s="5"/>
      <c r="K189" s="5"/>
    </row>
    <row r="190" spans="1:11" ht="50.1" customHeight="1" x14ac:dyDescent="0.2">
      <c r="A190" s="5" t="s">
        <v>5221</v>
      </c>
      <c r="B190" s="5" t="s">
        <v>5164</v>
      </c>
      <c r="C190" s="5" t="s">
        <v>5222</v>
      </c>
      <c r="D190" s="5" t="s">
        <v>4343</v>
      </c>
      <c r="E190" s="5" t="s">
        <v>4367</v>
      </c>
      <c r="F190" s="5" t="s">
        <v>4944</v>
      </c>
      <c r="G190" s="5" t="s">
        <v>5221</v>
      </c>
      <c r="H190" s="5" t="s">
        <v>5166</v>
      </c>
      <c r="I190" s="5" t="s">
        <v>1517</v>
      </c>
      <c r="J190" s="5"/>
      <c r="K190" s="5"/>
    </row>
    <row r="191" spans="1:11" ht="50.1" customHeight="1" x14ac:dyDescent="0.2">
      <c r="A191" s="5" t="s">
        <v>5223</v>
      </c>
      <c r="B191" s="5" t="s">
        <v>5164</v>
      </c>
      <c r="C191" s="5" t="s">
        <v>5224</v>
      </c>
      <c r="D191" s="5" t="s">
        <v>4347</v>
      </c>
      <c r="E191" s="5" t="s">
        <v>4367</v>
      </c>
      <c r="F191" s="5" t="s">
        <v>4944</v>
      </c>
      <c r="G191" s="5" t="s">
        <v>5223</v>
      </c>
      <c r="H191" s="5" t="s">
        <v>5166</v>
      </c>
      <c r="I191" s="5" t="s">
        <v>1517</v>
      </c>
      <c r="J191" s="5"/>
      <c r="K191" s="5"/>
    </row>
    <row r="192" spans="1:11" ht="50.1" customHeight="1" x14ac:dyDescent="0.2">
      <c r="A192" s="5" t="s">
        <v>5225</v>
      </c>
      <c r="B192" s="5" t="s">
        <v>5164</v>
      </c>
      <c r="C192" s="5" t="s">
        <v>5226</v>
      </c>
      <c r="D192" s="5" t="s">
        <v>4265</v>
      </c>
      <c r="E192" s="5" t="s">
        <v>4351</v>
      </c>
      <c r="F192" s="5" t="s">
        <v>4944</v>
      </c>
      <c r="G192" s="5" t="s">
        <v>5225</v>
      </c>
      <c r="H192" s="5" t="s">
        <v>5166</v>
      </c>
      <c r="I192" s="5" t="s">
        <v>1517</v>
      </c>
      <c r="J192" s="5"/>
      <c r="K192" s="5"/>
    </row>
    <row r="193" spans="1:11" ht="50.1" customHeight="1" x14ac:dyDescent="0.2">
      <c r="A193" s="5" t="s">
        <v>5227</v>
      </c>
      <c r="B193" s="5" t="s">
        <v>5164</v>
      </c>
      <c r="C193" s="5" t="s">
        <v>5228</v>
      </c>
      <c r="D193" s="5" t="s">
        <v>4351</v>
      </c>
      <c r="E193" s="5" t="s">
        <v>4367</v>
      </c>
      <c r="F193" s="5" t="s">
        <v>4944</v>
      </c>
      <c r="G193" s="5" t="s">
        <v>5227</v>
      </c>
      <c r="H193" s="5" t="s">
        <v>5166</v>
      </c>
      <c r="I193" s="5" t="s">
        <v>1517</v>
      </c>
      <c r="J193" s="5"/>
      <c r="K193" s="5"/>
    </row>
    <row r="194" spans="1:11" ht="50.1" customHeight="1" x14ac:dyDescent="0.2">
      <c r="A194" s="5" t="s">
        <v>5229</v>
      </c>
      <c r="B194" s="5" t="s">
        <v>5164</v>
      </c>
      <c r="C194" s="5" t="s">
        <v>5230</v>
      </c>
      <c r="D194" s="5" t="s">
        <v>4355</v>
      </c>
      <c r="E194" s="5" t="s">
        <v>4367</v>
      </c>
      <c r="F194" s="5" t="s">
        <v>4944</v>
      </c>
      <c r="G194" s="5" t="s">
        <v>5229</v>
      </c>
      <c r="H194" s="5" t="s">
        <v>5166</v>
      </c>
      <c r="I194" s="5" t="s">
        <v>1517</v>
      </c>
      <c r="J194" s="5"/>
      <c r="K194" s="5"/>
    </row>
    <row r="195" spans="1:11" ht="50.1" customHeight="1" x14ac:dyDescent="0.2">
      <c r="A195" s="5" t="s">
        <v>5231</v>
      </c>
      <c r="B195" s="5" t="s">
        <v>5164</v>
      </c>
      <c r="C195" s="5" t="s">
        <v>5232</v>
      </c>
      <c r="D195" s="5" t="s">
        <v>4265</v>
      </c>
      <c r="E195" s="5" t="s">
        <v>4359</v>
      </c>
      <c r="F195" s="5" t="s">
        <v>4944</v>
      </c>
      <c r="G195" s="5" t="s">
        <v>5231</v>
      </c>
      <c r="H195" s="5" t="s">
        <v>5166</v>
      </c>
      <c r="I195" s="5" t="s">
        <v>1517</v>
      </c>
      <c r="J195" s="5"/>
      <c r="K195" s="5"/>
    </row>
    <row r="196" spans="1:11" ht="50.1" customHeight="1" x14ac:dyDescent="0.2">
      <c r="A196" s="5" t="s">
        <v>5233</v>
      </c>
      <c r="B196" s="5" t="s">
        <v>5164</v>
      </c>
      <c r="C196" s="5" t="s">
        <v>5234</v>
      </c>
      <c r="D196" s="5" t="s">
        <v>4359</v>
      </c>
      <c r="E196" s="5" t="s">
        <v>4367</v>
      </c>
      <c r="F196" s="5" t="s">
        <v>4944</v>
      </c>
      <c r="G196" s="5" t="s">
        <v>5233</v>
      </c>
      <c r="H196" s="5" t="s">
        <v>5166</v>
      </c>
      <c r="I196" s="5" t="s">
        <v>1517</v>
      </c>
      <c r="J196" s="5"/>
      <c r="K196" s="5"/>
    </row>
    <row r="197" spans="1:11" ht="50.1" customHeight="1" x14ac:dyDescent="0.2">
      <c r="A197" s="5" t="s">
        <v>5235</v>
      </c>
      <c r="B197" s="5" t="s">
        <v>5164</v>
      </c>
      <c r="C197" s="5" t="s">
        <v>5236</v>
      </c>
      <c r="D197" s="5" t="s">
        <v>4363</v>
      </c>
      <c r="E197" s="5" t="s">
        <v>4367</v>
      </c>
      <c r="F197" s="5" t="s">
        <v>4944</v>
      </c>
      <c r="G197" s="5" t="s">
        <v>5235</v>
      </c>
      <c r="H197" s="5" t="s">
        <v>5166</v>
      </c>
      <c r="I197" s="5" t="s">
        <v>1517</v>
      </c>
      <c r="J197" s="5"/>
      <c r="K197" s="5"/>
    </row>
    <row r="198" spans="1:11" ht="50.1" customHeight="1" x14ac:dyDescent="0.2">
      <c r="A198" s="5" t="s">
        <v>5237</v>
      </c>
      <c r="B198" s="5" t="s">
        <v>5164</v>
      </c>
      <c r="C198" s="5" t="s">
        <v>5238</v>
      </c>
      <c r="D198" s="5" t="s">
        <v>3914</v>
      </c>
      <c r="E198" s="5" t="s">
        <v>4367</v>
      </c>
      <c r="F198" s="5" t="s">
        <v>4944</v>
      </c>
      <c r="G198" s="5" t="s">
        <v>5237</v>
      </c>
      <c r="H198" s="5" t="s">
        <v>5166</v>
      </c>
      <c r="I198" s="5" t="s">
        <v>1517</v>
      </c>
      <c r="J198" s="5"/>
      <c r="K198" s="5"/>
    </row>
    <row r="199" spans="1:11" ht="50.1" customHeight="1" x14ac:dyDescent="0.2">
      <c r="A199" s="5" t="s">
        <v>5239</v>
      </c>
      <c r="B199" s="5" t="s">
        <v>5164</v>
      </c>
      <c r="C199" s="5" t="s">
        <v>5240</v>
      </c>
      <c r="D199" s="5" t="s">
        <v>3921</v>
      </c>
      <c r="E199" s="5" t="s">
        <v>4367</v>
      </c>
      <c r="F199" s="5" t="s">
        <v>4944</v>
      </c>
      <c r="G199" s="5" t="s">
        <v>5239</v>
      </c>
      <c r="H199" s="5" t="s">
        <v>5166</v>
      </c>
      <c r="I199" s="5" t="s">
        <v>1517</v>
      </c>
      <c r="J199" s="5"/>
      <c r="K199" s="5"/>
    </row>
    <row r="200" spans="1:11" ht="50.1" customHeight="1" x14ac:dyDescent="0.2">
      <c r="A200" s="5" t="s">
        <v>5241</v>
      </c>
      <c r="B200" s="5" t="s">
        <v>5164</v>
      </c>
      <c r="C200" s="5" t="s">
        <v>5242</v>
      </c>
      <c r="D200" s="5" t="s">
        <v>4129</v>
      </c>
      <c r="E200" s="5" t="s">
        <v>4367</v>
      </c>
      <c r="F200" s="5" t="s">
        <v>4944</v>
      </c>
      <c r="G200" s="5" t="s">
        <v>5241</v>
      </c>
      <c r="H200" s="5" t="s">
        <v>5166</v>
      </c>
      <c r="I200" s="5" t="s">
        <v>1517</v>
      </c>
      <c r="J200" s="5"/>
      <c r="K200" s="5"/>
    </row>
    <row r="201" spans="1:11" ht="50.1" customHeight="1" x14ac:dyDescent="0.2">
      <c r="A201" s="5" t="s">
        <v>5243</v>
      </c>
      <c r="B201" s="5" t="s">
        <v>5164</v>
      </c>
      <c r="C201" s="5" t="s">
        <v>5244</v>
      </c>
      <c r="D201" s="5" t="s">
        <v>3928</v>
      </c>
      <c r="E201" s="5" t="s">
        <v>4367</v>
      </c>
      <c r="F201" s="5" t="s">
        <v>4944</v>
      </c>
      <c r="G201" s="5" t="s">
        <v>5243</v>
      </c>
      <c r="H201" s="5" t="s">
        <v>5166</v>
      </c>
      <c r="I201" s="5" t="s">
        <v>1517</v>
      </c>
      <c r="J201" s="5"/>
      <c r="K201" s="5"/>
    </row>
    <row r="202" spans="1:11" ht="50.1" customHeight="1" x14ac:dyDescent="0.2">
      <c r="A202" s="5" t="s">
        <v>5245</v>
      </c>
      <c r="B202" s="5" t="s">
        <v>5164</v>
      </c>
      <c r="C202" s="5" t="s">
        <v>5246</v>
      </c>
      <c r="D202" s="5" t="s">
        <v>3935</v>
      </c>
      <c r="E202" s="5" t="s">
        <v>4367</v>
      </c>
      <c r="F202" s="5" t="s">
        <v>4944</v>
      </c>
      <c r="G202" s="5" t="s">
        <v>5245</v>
      </c>
      <c r="H202" s="5" t="s">
        <v>5166</v>
      </c>
      <c r="I202" s="5" t="s">
        <v>1517</v>
      </c>
      <c r="J202" s="5"/>
      <c r="K202" s="5"/>
    </row>
    <row r="203" spans="1:11" ht="50.1" customHeight="1" x14ac:dyDescent="0.2">
      <c r="A203" s="5" t="s">
        <v>5247</v>
      </c>
      <c r="B203" s="5" t="s">
        <v>5164</v>
      </c>
      <c r="C203" s="5" t="s">
        <v>5248</v>
      </c>
      <c r="D203" s="5" t="s">
        <v>3942</v>
      </c>
      <c r="E203" s="5" t="s">
        <v>4367</v>
      </c>
      <c r="F203" s="5" t="s">
        <v>4944</v>
      </c>
      <c r="G203" s="5" t="s">
        <v>5247</v>
      </c>
      <c r="H203" s="5" t="s">
        <v>5166</v>
      </c>
      <c r="I203" s="5" t="s">
        <v>1517</v>
      </c>
      <c r="J203" s="5"/>
      <c r="K203" s="5"/>
    </row>
    <row r="204" spans="1:11" ht="50.1" customHeight="1" x14ac:dyDescent="0.2">
      <c r="A204" s="5" t="s">
        <v>5249</v>
      </c>
      <c r="B204" s="5" t="s">
        <v>5164</v>
      </c>
      <c r="C204" s="5" t="s">
        <v>5250</v>
      </c>
      <c r="D204" s="5" t="s">
        <v>4169</v>
      </c>
      <c r="E204" s="5" t="s">
        <v>4367</v>
      </c>
      <c r="F204" s="5" t="s">
        <v>4944</v>
      </c>
      <c r="G204" s="5" t="s">
        <v>5249</v>
      </c>
      <c r="H204" s="5" t="s">
        <v>5166</v>
      </c>
      <c r="I204" s="5" t="s">
        <v>1517</v>
      </c>
      <c r="J204" s="5"/>
      <c r="K204" s="5"/>
    </row>
    <row r="205" spans="1:11" ht="50.1" customHeight="1" x14ac:dyDescent="0.2">
      <c r="A205" s="5" t="s">
        <v>5251</v>
      </c>
      <c r="B205" s="5" t="s">
        <v>5164</v>
      </c>
      <c r="C205" s="5" t="s">
        <v>5252</v>
      </c>
      <c r="D205" s="5" t="s">
        <v>4148</v>
      </c>
      <c r="E205" s="5" t="s">
        <v>4367</v>
      </c>
      <c r="F205" s="5" t="s">
        <v>4944</v>
      </c>
      <c r="G205" s="5" t="s">
        <v>5251</v>
      </c>
      <c r="H205" s="5" t="s">
        <v>5166</v>
      </c>
      <c r="I205" s="5" t="s">
        <v>1517</v>
      </c>
      <c r="J205" s="5"/>
      <c r="K205" s="5"/>
    </row>
    <row r="206" spans="1:11" ht="50.1" customHeight="1" x14ac:dyDescent="0.2">
      <c r="A206" s="5" t="s">
        <v>5253</v>
      </c>
      <c r="B206" s="5" t="s">
        <v>5164</v>
      </c>
      <c r="C206" s="5" t="s">
        <v>5254</v>
      </c>
      <c r="D206" s="5" t="s">
        <v>3949</v>
      </c>
      <c r="E206" s="5" t="s">
        <v>4367</v>
      </c>
      <c r="F206" s="5" t="s">
        <v>4944</v>
      </c>
      <c r="G206" s="5" t="s">
        <v>5253</v>
      </c>
      <c r="H206" s="5" t="s">
        <v>5166</v>
      </c>
      <c r="I206" s="5" t="s">
        <v>1517</v>
      </c>
      <c r="J206" s="5"/>
      <c r="K206" s="5"/>
    </row>
    <row r="207" spans="1:11" ht="50.1" customHeight="1" x14ac:dyDescent="0.2">
      <c r="A207" s="5" t="s">
        <v>5255</v>
      </c>
      <c r="B207" s="5" t="s">
        <v>5164</v>
      </c>
      <c r="C207" s="5" t="s">
        <v>5256</v>
      </c>
      <c r="D207" s="5" t="s">
        <v>4190</v>
      </c>
      <c r="E207" s="5" t="s">
        <v>4367</v>
      </c>
      <c r="F207" s="5" t="s">
        <v>4944</v>
      </c>
      <c r="G207" s="5" t="s">
        <v>5255</v>
      </c>
      <c r="H207" s="5" t="s">
        <v>5166</v>
      </c>
      <c r="I207" s="5" t="s">
        <v>1517</v>
      </c>
      <c r="J207" s="5"/>
      <c r="K207" s="5"/>
    </row>
    <row r="208" spans="1:11" ht="50.1" customHeight="1" x14ac:dyDescent="0.2">
      <c r="A208" s="5" t="s">
        <v>5257</v>
      </c>
      <c r="B208" s="5" t="s">
        <v>5164</v>
      </c>
      <c r="C208" s="5" t="s">
        <v>5258</v>
      </c>
      <c r="D208" s="5" t="s">
        <v>3956</v>
      </c>
      <c r="E208" s="5" t="s">
        <v>4367</v>
      </c>
      <c r="F208" s="5" t="s">
        <v>4944</v>
      </c>
      <c r="G208" s="5" t="s">
        <v>5257</v>
      </c>
      <c r="H208" s="5" t="s">
        <v>5166</v>
      </c>
      <c r="I208" s="5" t="s">
        <v>1517</v>
      </c>
      <c r="J208" s="5"/>
      <c r="K208" s="5"/>
    </row>
    <row r="209" spans="1:11" ht="50.1" customHeight="1" x14ac:dyDescent="0.2">
      <c r="A209" s="5" t="s">
        <v>5259</v>
      </c>
      <c r="B209" s="5" t="s">
        <v>5164</v>
      </c>
      <c r="C209" s="5" t="s">
        <v>5260</v>
      </c>
      <c r="D209" s="5" t="s">
        <v>4211</v>
      </c>
      <c r="E209" s="5" t="s">
        <v>4367</v>
      </c>
      <c r="F209" s="5" t="s">
        <v>4944</v>
      </c>
      <c r="G209" s="5" t="s">
        <v>5259</v>
      </c>
      <c r="H209" s="5" t="s">
        <v>5166</v>
      </c>
      <c r="I209" s="5" t="s">
        <v>1517</v>
      </c>
      <c r="J209" s="5"/>
      <c r="K209" s="5"/>
    </row>
    <row r="210" spans="1:11" ht="50.1" customHeight="1" x14ac:dyDescent="0.2">
      <c r="A210" s="5" t="s">
        <v>5261</v>
      </c>
      <c r="B210" s="5" t="s">
        <v>5164</v>
      </c>
      <c r="C210" s="5" t="s">
        <v>5262</v>
      </c>
      <c r="D210" s="5" t="s">
        <v>3963</v>
      </c>
      <c r="E210" s="5" t="s">
        <v>4367</v>
      </c>
      <c r="F210" s="5" t="s">
        <v>4944</v>
      </c>
      <c r="G210" s="5" t="s">
        <v>5261</v>
      </c>
      <c r="H210" s="5" t="s">
        <v>5166</v>
      </c>
      <c r="I210" s="5" t="s">
        <v>1517</v>
      </c>
      <c r="J210" s="5"/>
      <c r="K210" s="5"/>
    </row>
    <row r="211" spans="1:11" ht="50.1" customHeight="1" x14ac:dyDescent="0.2">
      <c r="A211" s="5" t="s">
        <v>5263</v>
      </c>
      <c r="B211" s="5" t="s">
        <v>5164</v>
      </c>
      <c r="C211" s="5" t="s">
        <v>5264</v>
      </c>
      <c r="D211" s="5" t="s">
        <v>4232</v>
      </c>
      <c r="E211" s="5" t="s">
        <v>4367</v>
      </c>
      <c r="F211" s="5" t="s">
        <v>4944</v>
      </c>
      <c r="G211" s="5" t="s">
        <v>5263</v>
      </c>
      <c r="H211" s="5" t="s">
        <v>5166</v>
      </c>
      <c r="I211" s="5" t="s">
        <v>1517</v>
      </c>
      <c r="J211" s="5"/>
      <c r="K211" s="5"/>
    </row>
    <row r="212" spans="1:11" ht="50.1" customHeight="1" x14ac:dyDescent="0.2">
      <c r="A212" s="5" t="s">
        <v>5265</v>
      </c>
      <c r="B212" s="5" t="s">
        <v>5164</v>
      </c>
      <c r="C212" s="5" t="s">
        <v>5266</v>
      </c>
      <c r="D212" s="5" t="s">
        <v>3970</v>
      </c>
      <c r="E212" s="5" t="s">
        <v>4367</v>
      </c>
      <c r="F212" s="5" t="s">
        <v>4944</v>
      </c>
      <c r="G212" s="5" t="s">
        <v>5265</v>
      </c>
      <c r="H212" s="5" t="s">
        <v>5166</v>
      </c>
      <c r="I212" s="5" t="s">
        <v>1517</v>
      </c>
      <c r="J212" s="5"/>
      <c r="K212" s="5"/>
    </row>
    <row r="213" spans="1:11" ht="50.1" customHeight="1" x14ac:dyDescent="0.2">
      <c r="A213" s="5" t="s">
        <v>5267</v>
      </c>
      <c r="B213" s="5" t="s">
        <v>5164</v>
      </c>
      <c r="C213" s="5" t="s">
        <v>5268</v>
      </c>
      <c r="D213" s="5" t="s">
        <v>4251</v>
      </c>
      <c r="E213" s="5" t="s">
        <v>4367</v>
      </c>
      <c r="F213" s="5" t="s">
        <v>4944</v>
      </c>
      <c r="G213" s="5" t="s">
        <v>5267</v>
      </c>
      <c r="H213" s="5" t="s">
        <v>5166</v>
      </c>
      <c r="I213" s="5" t="s">
        <v>1517</v>
      </c>
      <c r="J213" s="5"/>
      <c r="K213" s="5"/>
    </row>
    <row r="214" spans="1:11" ht="50.1" customHeight="1" x14ac:dyDescent="0.2">
      <c r="A214" s="5" t="s">
        <v>5269</v>
      </c>
      <c r="B214" s="5" t="s">
        <v>5164</v>
      </c>
      <c r="C214" s="5" t="s">
        <v>5270</v>
      </c>
      <c r="D214" s="5" t="s">
        <v>3977</v>
      </c>
      <c r="E214" s="5" t="s">
        <v>4367</v>
      </c>
      <c r="F214" s="5" t="s">
        <v>4944</v>
      </c>
      <c r="G214" s="5" t="s">
        <v>5269</v>
      </c>
      <c r="H214" s="5" t="s">
        <v>5166</v>
      </c>
      <c r="I214" s="5" t="s">
        <v>1517</v>
      </c>
      <c r="J214" s="5"/>
      <c r="K214" s="5"/>
    </row>
    <row r="215" spans="1:11" ht="50.1" customHeight="1" x14ac:dyDescent="0.2">
      <c r="A215" s="5" t="s">
        <v>5271</v>
      </c>
      <c r="B215" s="5" t="s">
        <v>5164</v>
      </c>
      <c r="C215" s="5" t="s">
        <v>5272</v>
      </c>
      <c r="D215" s="5" t="s">
        <v>3984</v>
      </c>
      <c r="E215" s="5" t="s">
        <v>4367</v>
      </c>
      <c r="F215" s="5" t="s">
        <v>4944</v>
      </c>
      <c r="G215" s="5" t="s">
        <v>5271</v>
      </c>
      <c r="H215" s="5" t="s">
        <v>5166</v>
      </c>
      <c r="I215" s="5" t="s">
        <v>1517</v>
      </c>
      <c r="J215" s="5"/>
      <c r="K215" s="5"/>
    </row>
    <row r="216" spans="1:11" ht="50.1" customHeight="1" x14ac:dyDescent="0.2">
      <c r="A216" s="5" t="s">
        <v>5273</v>
      </c>
      <c r="B216" s="5" t="s">
        <v>5164</v>
      </c>
      <c r="C216" s="5" t="s">
        <v>5274</v>
      </c>
      <c r="D216" s="5" t="s">
        <v>3991</v>
      </c>
      <c r="E216" s="5" t="s">
        <v>4367</v>
      </c>
      <c r="F216" s="5" t="s">
        <v>4944</v>
      </c>
      <c r="G216" s="5" t="s">
        <v>5273</v>
      </c>
      <c r="H216" s="5" t="s">
        <v>5166</v>
      </c>
      <c r="I216" s="5" t="s">
        <v>1517</v>
      </c>
      <c r="J216" s="5"/>
      <c r="K216" s="5"/>
    </row>
    <row r="217" spans="1:11" ht="50.1" customHeight="1" x14ac:dyDescent="0.2">
      <c r="A217" s="5" t="s">
        <v>5275</v>
      </c>
      <c r="B217" s="5" t="s">
        <v>5164</v>
      </c>
      <c r="C217" s="5" t="s">
        <v>5276</v>
      </c>
      <c r="D217" s="5" t="s">
        <v>4125</v>
      </c>
      <c r="E217" s="5" t="s">
        <v>4367</v>
      </c>
      <c r="F217" s="5" t="s">
        <v>4944</v>
      </c>
      <c r="G217" s="5" t="s">
        <v>5275</v>
      </c>
      <c r="H217" s="5" t="s">
        <v>5166</v>
      </c>
      <c r="I217" s="5" t="s">
        <v>1517</v>
      </c>
      <c r="J217" s="5"/>
      <c r="K217" s="5"/>
    </row>
    <row r="218" spans="1:11" ht="50.1" customHeight="1" x14ac:dyDescent="0.2">
      <c r="A218" s="5" t="s">
        <v>5277</v>
      </c>
      <c r="B218" s="5" t="s">
        <v>5164</v>
      </c>
      <c r="C218" s="5" t="s">
        <v>5278</v>
      </c>
      <c r="D218" s="5" t="s">
        <v>4165</v>
      </c>
      <c r="E218" s="5" t="s">
        <v>4367</v>
      </c>
      <c r="F218" s="5" t="s">
        <v>4944</v>
      </c>
      <c r="G218" s="5" t="s">
        <v>5277</v>
      </c>
      <c r="H218" s="5" t="s">
        <v>5166</v>
      </c>
      <c r="I218" s="5" t="s">
        <v>1517</v>
      </c>
      <c r="J218" s="5"/>
      <c r="K218" s="5"/>
    </row>
    <row r="219" spans="1:11" ht="50.1" customHeight="1" x14ac:dyDescent="0.2">
      <c r="A219" s="5" t="s">
        <v>5279</v>
      </c>
      <c r="B219" s="5" t="s">
        <v>5164</v>
      </c>
      <c r="C219" s="5" t="s">
        <v>5280</v>
      </c>
      <c r="D219" s="5" t="s">
        <v>4144</v>
      </c>
      <c r="E219" s="5" t="s">
        <v>4367</v>
      </c>
      <c r="F219" s="5" t="s">
        <v>4944</v>
      </c>
      <c r="G219" s="5" t="s">
        <v>5279</v>
      </c>
      <c r="H219" s="5" t="s">
        <v>5166</v>
      </c>
      <c r="I219" s="5" t="s">
        <v>1517</v>
      </c>
      <c r="J219" s="5"/>
      <c r="K219" s="5"/>
    </row>
    <row r="220" spans="1:11" ht="50.1" customHeight="1" x14ac:dyDescent="0.2">
      <c r="A220" s="5" t="s">
        <v>5281</v>
      </c>
      <c r="B220" s="5" t="s">
        <v>5164</v>
      </c>
      <c r="C220" s="5" t="s">
        <v>5282</v>
      </c>
      <c r="D220" s="5" t="s">
        <v>4186</v>
      </c>
      <c r="E220" s="5" t="s">
        <v>4367</v>
      </c>
      <c r="F220" s="5" t="s">
        <v>4944</v>
      </c>
      <c r="G220" s="5" t="s">
        <v>5281</v>
      </c>
      <c r="H220" s="5" t="s">
        <v>5166</v>
      </c>
      <c r="I220" s="5" t="s">
        <v>1517</v>
      </c>
      <c r="J220" s="5"/>
      <c r="K220" s="5"/>
    </row>
    <row r="221" spans="1:11" ht="50.1" customHeight="1" x14ac:dyDescent="0.2">
      <c r="A221" s="5" t="s">
        <v>5283</v>
      </c>
      <c r="B221" s="5" t="s">
        <v>5164</v>
      </c>
      <c r="C221" s="5" t="s">
        <v>5284</v>
      </c>
      <c r="D221" s="5" t="s">
        <v>4207</v>
      </c>
      <c r="E221" s="5" t="s">
        <v>4367</v>
      </c>
      <c r="F221" s="5" t="s">
        <v>4944</v>
      </c>
      <c r="G221" s="5" t="s">
        <v>5283</v>
      </c>
      <c r="H221" s="5" t="s">
        <v>5166</v>
      </c>
      <c r="I221" s="5" t="s">
        <v>1517</v>
      </c>
      <c r="J221" s="5"/>
      <c r="K221" s="5"/>
    </row>
    <row r="222" spans="1:11" ht="50.1" customHeight="1" x14ac:dyDescent="0.2">
      <c r="A222" s="5" t="s">
        <v>5285</v>
      </c>
      <c r="B222" s="5" t="s">
        <v>5164</v>
      </c>
      <c r="C222" s="5" t="s">
        <v>5286</v>
      </c>
      <c r="D222" s="5" t="s">
        <v>4228</v>
      </c>
      <c r="E222" s="5" t="s">
        <v>4367</v>
      </c>
      <c r="F222" s="5" t="s">
        <v>4944</v>
      </c>
      <c r="G222" s="5" t="s">
        <v>5285</v>
      </c>
      <c r="H222" s="5" t="s">
        <v>5166</v>
      </c>
      <c r="I222" s="5" t="s">
        <v>1517</v>
      </c>
      <c r="J222" s="5"/>
      <c r="K222" s="5"/>
    </row>
    <row r="223" spans="1:11" ht="50.1" customHeight="1" x14ac:dyDescent="0.2">
      <c r="A223" s="5" t="s">
        <v>5287</v>
      </c>
      <c r="B223" s="5" t="s">
        <v>5164</v>
      </c>
      <c r="C223" s="5" t="s">
        <v>5288</v>
      </c>
      <c r="D223" s="5" t="s">
        <v>4247</v>
      </c>
      <c r="E223" s="5" t="s">
        <v>4367</v>
      </c>
      <c r="F223" s="5" t="s">
        <v>4944</v>
      </c>
      <c r="G223" s="5" t="s">
        <v>5287</v>
      </c>
      <c r="H223" s="5" t="s">
        <v>5166</v>
      </c>
      <c r="I223" s="5" t="s">
        <v>1517</v>
      </c>
      <c r="J223" s="5"/>
      <c r="K223" s="5"/>
    </row>
  </sheetData>
  <conditionalFormatting sqref="I7:I1200">
    <cfRule type="containsText" dxfId="7" priority="1" operator="containsText" text="BLOCK"/>
  </conditionalFormatting>
  <dataValidations count="4">
    <dataValidation type="list" sqref="J7:J1200 D7:E1200" xr:uid="{00000000-0002-0000-0F00-000000000000}">
      <formula1>og_list_8</formula1>
    </dataValidation>
    <dataValidation type="list" sqref="F7:F1200" xr:uid="{00000000-0002-0000-0F00-000002000000}">
      <formula1>"GOVERNED BY,DERIVED FROM,USES,COMPOSES"</formula1>
    </dataValidation>
    <dataValidation type="list" sqref="I7:I1200" xr:uid="{00000000-0002-0000-0F00-000003000000}">
      <formula1>"CURRENT,NEEDS REVIEW,STALE"</formula1>
    </dataValidation>
    <dataValidation type="list" sqref="K7:K1200" xr:uid="{00000000-0002-0000-0F00-000005000000}">
      <formula1>og_list_18</formula1>
    </dataValidation>
  </dataValidations>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67E8F9"/>
  </sheetPr>
  <dimension ref="A1:M61"/>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8" width="29.0546875" customWidth="1"/>
    <col min="9" max="10" width="48.0234375" customWidth="1"/>
    <col min="11" max="11" width="34.03125" customWidth="1"/>
    <col min="12" max="13" width="29.0546875" customWidth="1"/>
  </cols>
  <sheetData>
    <row r="1" spans="1:13" ht="21.75" x14ac:dyDescent="0.25">
      <c r="A1" s="3" t="s">
        <v>5289</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1532</v>
      </c>
      <c r="B3" s="2"/>
      <c r="C3" s="2"/>
      <c r="D3" s="2"/>
      <c r="E3" s="2"/>
      <c r="F3" s="2"/>
      <c r="G3" s="2"/>
      <c r="H3" s="2"/>
      <c r="I3" s="2"/>
      <c r="J3" s="2"/>
      <c r="K3" s="2"/>
      <c r="L3" s="2"/>
      <c r="M3" s="2"/>
    </row>
    <row r="4" spans="1:13" ht="16.5" x14ac:dyDescent="0.2">
      <c r="A4" s="4" t="str">
        <f>HYPERLINK("#'Field Dictionary'!A167","🔍✅ - 1 - SHORT TEXT")</f>
        <v>🔍✅ - 1 - SHORT TEXT</v>
      </c>
      <c r="B4" s="4" t="str">
        <f>HYPERLINK("#'Field Dictionary'!A168","🔍✅ - 2 - LONG TEXT")</f>
        <v>🔍✅ - 2 - LONG TEXT</v>
      </c>
      <c r="C4" s="4" t="str">
        <f>HYPERLINK("#'Field Dictionary'!A169","🔍✅ - 3 - SHORT TEXT")</f>
        <v>🔍✅ - 3 - SHORT TEXT</v>
      </c>
      <c r="D4" s="4" t="str">
        <f>HYPERLINK("#'Field Dictionary'!A170","🔍✅ - 4 - LINKED RECORD")</f>
        <v>🔍✅ - 4 - LINKED RECORD</v>
      </c>
      <c r="E4" s="4" t="str">
        <f>HYPERLINK("#'Field Dictionary'!A171","🔍✅ - 5 - LINKED RECORD")</f>
        <v>🔍✅ - 5 - LINKED RECORD</v>
      </c>
      <c r="F4" s="4" t="str">
        <f>HYPERLINK("#'Field Dictionary'!A172","🔍✅ - 6 - LINKED RECORD")</f>
        <v>🔍✅ - 6 - LINKED RECORD</v>
      </c>
      <c r="G4" s="4" t="str">
        <f>HYPERLINK("#'Field Dictionary'!A173","🔍✅ - 7 - SINGLE SELECT")</f>
        <v>🔍✅ - 7 - SINGLE SELECT</v>
      </c>
      <c r="H4" s="4" t="str">
        <f>HYPERLINK("#'Field Dictionary'!A174","🔍✅ - 8 - SINGLE SELECT")</f>
        <v>🔍✅ - 8 - SINGLE SELECT</v>
      </c>
      <c r="I4" s="4" t="str">
        <f>HYPERLINK("#'Field Dictionary'!A175","🔍✅ - 9 - LONG TEXT")</f>
        <v>🔍✅ - 9 - LONG TEXT</v>
      </c>
      <c r="J4" s="4" t="str">
        <f>HYPERLINK("#'Field Dictionary'!A176","🔍✅ - 10 - LONG TEXT")</f>
        <v>🔍✅ - 10 - LONG TEXT</v>
      </c>
      <c r="K4" s="4" t="str">
        <f>HYPERLINK("#'Field Dictionary'!A177","🔍✅ - 11 - LINKED RECORDS")</f>
        <v>🔍✅ - 11 - LINKED RECORDS</v>
      </c>
      <c r="L4" s="4" t="str">
        <f>HYPERLINK("#'Field Dictionary'!A178","🔍✅ - 12 - SHORT TEXT")</f>
        <v>🔍✅ - 12 - SHORT TEXT</v>
      </c>
      <c r="M4" s="4" t="str">
        <f>HYPERLINK("#'Field Dictionary'!A179","🔍✅ - 13 - LINKED RECORD")</f>
        <v>🔍✅ - 13 - LINKED RECORD</v>
      </c>
    </row>
    <row r="5" spans="1:13" ht="38.1" customHeight="1" x14ac:dyDescent="0.2">
      <c r="A5" s="7" t="s">
        <v>100</v>
      </c>
      <c r="B5" s="7" t="s">
        <v>101</v>
      </c>
      <c r="C5" s="7" t="s">
        <v>102</v>
      </c>
      <c r="D5" s="7" t="s">
        <v>5290</v>
      </c>
      <c r="E5" s="7" t="s">
        <v>5291</v>
      </c>
      <c r="F5" s="7" t="s">
        <v>5292</v>
      </c>
      <c r="G5" s="7" t="s">
        <v>5293</v>
      </c>
      <c r="H5" s="7" t="s">
        <v>5294</v>
      </c>
      <c r="I5" s="7" t="s">
        <v>5295</v>
      </c>
      <c r="J5" s="7" t="s">
        <v>5296</v>
      </c>
      <c r="K5" s="7" t="s">
        <v>5297</v>
      </c>
      <c r="L5" s="7" t="s">
        <v>5298</v>
      </c>
      <c r="M5" s="7" t="s">
        <v>5299</v>
      </c>
    </row>
    <row r="6" spans="1:13" ht="38.1" customHeight="1" x14ac:dyDescent="0.2">
      <c r="A6" s="7" t="s">
        <v>115</v>
      </c>
      <c r="B6" s="7" t="s">
        <v>116</v>
      </c>
      <c r="C6" s="7" t="s">
        <v>117</v>
      </c>
      <c r="D6" s="7" t="s">
        <v>5300</v>
      </c>
      <c r="E6" s="7" t="s">
        <v>5301</v>
      </c>
      <c r="F6" s="7" t="s">
        <v>5302</v>
      </c>
      <c r="G6" s="7" t="s">
        <v>5303</v>
      </c>
      <c r="H6" s="7" t="s">
        <v>5304</v>
      </c>
      <c r="I6" s="7" t="s">
        <v>5305</v>
      </c>
      <c r="J6" s="7" t="s">
        <v>5306</v>
      </c>
      <c r="K6" s="7" t="s">
        <v>5307</v>
      </c>
      <c r="L6" s="7" t="s">
        <v>5308</v>
      </c>
      <c r="M6" s="7" t="s">
        <v>5309</v>
      </c>
    </row>
    <row r="7" spans="1:13" ht="57" customHeight="1" x14ac:dyDescent="0.2">
      <c r="A7" s="5" t="s">
        <v>5310</v>
      </c>
      <c r="B7" s="5" t="s">
        <v>1532</v>
      </c>
      <c r="C7" s="5" t="s">
        <v>5310</v>
      </c>
      <c r="D7" s="5" t="s">
        <v>3581</v>
      </c>
      <c r="E7" s="5" t="s">
        <v>3055</v>
      </c>
      <c r="F7" s="5" t="s">
        <v>262</v>
      </c>
      <c r="G7" s="5" t="s">
        <v>1576</v>
      </c>
      <c r="H7" s="5" t="s">
        <v>5311</v>
      </c>
      <c r="I7" s="5" t="s">
        <v>5312</v>
      </c>
      <c r="J7" s="5" t="s">
        <v>5313</v>
      </c>
      <c r="K7" s="5" t="s">
        <v>5314</v>
      </c>
      <c r="L7" s="5" t="s">
        <v>5315</v>
      </c>
      <c r="M7" s="5"/>
    </row>
    <row r="8" spans="1:13" ht="57" customHeight="1" x14ac:dyDescent="0.2">
      <c r="A8" s="5" t="s">
        <v>5316</v>
      </c>
      <c r="B8" s="5" t="s">
        <v>1532</v>
      </c>
      <c r="C8" s="5" t="s">
        <v>5316</v>
      </c>
      <c r="D8" s="5" t="s">
        <v>3590</v>
      </c>
      <c r="E8" s="5" t="s">
        <v>3055</v>
      </c>
      <c r="F8" s="5" t="s">
        <v>262</v>
      </c>
      <c r="G8" s="5" t="s">
        <v>1576</v>
      </c>
      <c r="H8" s="5" t="s">
        <v>5311</v>
      </c>
      <c r="I8" s="5" t="s">
        <v>5312</v>
      </c>
      <c r="J8" s="5" t="s">
        <v>5317</v>
      </c>
      <c r="K8" s="5" t="s">
        <v>5314</v>
      </c>
      <c r="L8" s="5" t="s">
        <v>5315</v>
      </c>
      <c r="M8" s="5"/>
    </row>
    <row r="9" spans="1:13" ht="57" customHeight="1" x14ac:dyDescent="0.2">
      <c r="A9" s="5" t="s">
        <v>5318</v>
      </c>
      <c r="B9" s="5" t="s">
        <v>1532</v>
      </c>
      <c r="C9" s="5" t="s">
        <v>5318</v>
      </c>
      <c r="D9" s="5" t="s">
        <v>3616</v>
      </c>
      <c r="E9" s="5" t="s">
        <v>3055</v>
      </c>
      <c r="F9" s="5" t="s">
        <v>262</v>
      </c>
      <c r="G9" s="5" t="s">
        <v>1576</v>
      </c>
      <c r="H9" s="5" t="s">
        <v>5311</v>
      </c>
      <c r="I9" s="5" t="s">
        <v>5312</v>
      </c>
      <c r="J9" s="5" t="s">
        <v>5319</v>
      </c>
      <c r="K9" s="5" t="s">
        <v>5314</v>
      </c>
      <c r="L9" s="5" t="s">
        <v>5315</v>
      </c>
      <c r="M9" s="5"/>
    </row>
    <row r="10" spans="1:13" ht="57" customHeight="1" x14ac:dyDescent="0.2">
      <c r="A10" s="5" t="s">
        <v>5320</v>
      </c>
      <c r="B10" s="5" t="s">
        <v>1532</v>
      </c>
      <c r="C10" s="5" t="s">
        <v>5320</v>
      </c>
      <c r="D10" s="5" t="s">
        <v>3624</v>
      </c>
      <c r="E10" s="5" t="s">
        <v>3055</v>
      </c>
      <c r="F10" s="5" t="s">
        <v>262</v>
      </c>
      <c r="G10" s="5" t="s">
        <v>1576</v>
      </c>
      <c r="H10" s="5" t="s">
        <v>5311</v>
      </c>
      <c r="I10" s="5" t="s">
        <v>5312</v>
      </c>
      <c r="J10" s="5" t="s">
        <v>5321</v>
      </c>
      <c r="K10" s="5" t="s">
        <v>5314</v>
      </c>
      <c r="L10" s="5" t="s">
        <v>5315</v>
      </c>
      <c r="M10" s="5"/>
    </row>
    <row r="11" spans="1:13" ht="57" customHeight="1" x14ac:dyDescent="0.2">
      <c r="A11" s="5" t="s">
        <v>5322</v>
      </c>
      <c r="B11" s="5" t="s">
        <v>1532</v>
      </c>
      <c r="C11" s="5" t="s">
        <v>5322</v>
      </c>
      <c r="D11" s="5" t="s">
        <v>3648</v>
      </c>
      <c r="E11" s="5" t="s">
        <v>3055</v>
      </c>
      <c r="F11" s="5" t="s">
        <v>262</v>
      </c>
      <c r="G11" s="5" t="s">
        <v>1576</v>
      </c>
      <c r="H11" s="5" t="s">
        <v>5311</v>
      </c>
      <c r="I11" s="5" t="s">
        <v>5312</v>
      </c>
      <c r="J11" s="5" t="s">
        <v>5323</v>
      </c>
      <c r="K11" s="5" t="s">
        <v>5314</v>
      </c>
      <c r="L11" s="5" t="s">
        <v>5315</v>
      </c>
      <c r="M11" s="5"/>
    </row>
    <row r="12" spans="1:13" ht="57" customHeight="1" x14ac:dyDescent="0.2">
      <c r="A12" s="5" t="s">
        <v>5324</v>
      </c>
      <c r="B12" s="5" t="s">
        <v>1532</v>
      </c>
      <c r="C12" s="5" t="s">
        <v>5324</v>
      </c>
      <c r="D12" s="5" t="s">
        <v>3656</v>
      </c>
      <c r="E12" s="5" t="s">
        <v>3055</v>
      </c>
      <c r="F12" s="5" t="s">
        <v>262</v>
      </c>
      <c r="G12" s="5" t="s">
        <v>1576</v>
      </c>
      <c r="H12" s="5" t="s">
        <v>5311</v>
      </c>
      <c r="I12" s="5" t="s">
        <v>5312</v>
      </c>
      <c r="J12" s="5" t="s">
        <v>5325</v>
      </c>
      <c r="K12" s="5" t="s">
        <v>5314</v>
      </c>
      <c r="L12" s="5" t="s">
        <v>5315</v>
      </c>
      <c r="M12" s="5"/>
    </row>
    <row r="13" spans="1:13" ht="57" customHeight="1" x14ac:dyDescent="0.2">
      <c r="A13" s="5" t="s">
        <v>5326</v>
      </c>
      <c r="B13" s="5" t="s">
        <v>1532</v>
      </c>
      <c r="C13" s="5" t="s">
        <v>5326</v>
      </c>
      <c r="D13" s="5" t="s">
        <v>3680</v>
      </c>
      <c r="E13" s="5" t="s">
        <v>3055</v>
      </c>
      <c r="F13" s="5" t="s">
        <v>262</v>
      </c>
      <c r="G13" s="5" t="s">
        <v>1576</v>
      </c>
      <c r="H13" s="5" t="s">
        <v>5311</v>
      </c>
      <c r="I13" s="5" t="s">
        <v>5312</v>
      </c>
      <c r="J13" s="5" t="s">
        <v>5327</v>
      </c>
      <c r="K13" s="5" t="s">
        <v>5314</v>
      </c>
      <c r="L13" s="5" t="s">
        <v>5315</v>
      </c>
      <c r="M13" s="5"/>
    </row>
    <row r="14" spans="1:13" ht="57" customHeight="1" x14ac:dyDescent="0.2">
      <c r="A14" s="5" t="s">
        <v>5328</v>
      </c>
      <c r="B14" s="5" t="s">
        <v>1532</v>
      </c>
      <c r="C14" s="5" t="s">
        <v>5328</v>
      </c>
      <c r="D14" s="5" t="s">
        <v>3688</v>
      </c>
      <c r="E14" s="5" t="s">
        <v>3055</v>
      </c>
      <c r="F14" s="5" t="s">
        <v>262</v>
      </c>
      <c r="G14" s="5" t="s">
        <v>1576</v>
      </c>
      <c r="H14" s="5" t="s">
        <v>5311</v>
      </c>
      <c r="I14" s="5" t="s">
        <v>5312</v>
      </c>
      <c r="J14" s="5" t="s">
        <v>5329</v>
      </c>
      <c r="K14" s="5" t="s">
        <v>5314</v>
      </c>
      <c r="L14" s="5" t="s">
        <v>5315</v>
      </c>
      <c r="M14" s="5"/>
    </row>
    <row r="15" spans="1:13" ht="57" customHeight="1" x14ac:dyDescent="0.2">
      <c r="A15" s="5" t="s">
        <v>5330</v>
      </c>
      <c r="B15" s="5" t="s">
        <v>1532</v>
      </c>
      <c r="C15" s="5" t="s">
        <v>5330</v>
      </c>
      <c r="D15" s="5" t="s">
        <v>3712</v>
      </c>
      <c r="E15" s="5" t="s">
        <v>3055</v>
      </c>
      <c r="F15" s="5" t="s">
        <v>262</v>
      </c>
      <c r="G15" s="5" t="s">
        <v>1576</v>
      </c>
      <c r="H15" s="5" t="s">
        <v>5311</v>
      </c>
      <c r="I15" s="5" t="s">
        <v>5312</v>
      </c>
      <c r="J15" s="5" t="s">
        <v>5331</v>
      </c>
      <c r="K15" s="5" t="s">
        <v>5314</v>
      </c>
      <c r="L15" s="5" t="s">
        <v>5315</v>
      </c>
      <c r="M15" s="5"/>
    </row>
    <row r="16" spans="1:13" ht="57" customHeight="1" x14ac:dyDescent="0.2">
      <c r="A16" s="5" t="s">
        <v>5332</v>
      </c>
      <c r="B16" s="5" t="s">
        <v>1532</v>
      </c>
      <c r="C16" s="5" t="s">
        <v>5332</v>
      </c>
      <c r="D16" s="5" t="s">
        <v>3720</v>
      </c>
      <c r="E16" s="5" t="s">
        <v>3055</v>
      </c>
      <c r="F16" s="5" t="s">
        <v>262</v>
      </c>
      <c r="G16" s="5" t="s">
        <v>1576</v>
      </c>
      <c r="H16" s="5" t="s">
        <v>5311</v>
      </c>
      <c r="I16" s="5" t="s">
        <v>5312</v>
      </c>
      <c r="J16" s="5" t="s">
        <v>5333</v>
      </c>
      <c r="K16" s="5" t="s">
        <v>5314</v>
      </c>
      <c r="L16" s="5" t="s">
        <v>5315</v>
      </c>
      <c r="M16" s="5"/>
    </row>
    <row r="17" spans="1:13" ht="57" customHeight="1" x14ac:dyDescent="0.2">
      <c r="A17" s="5" t="s">
        <v>5334</v>
      </c>
      <c r="B17" s="5" t="s">
        <v>1532</v>
      </c>
      <c r="C17" s="5" t="s">
        <v>5334</v>
      </c>
      <c r="D17" s="5" t="s">
        <v>3744</v>
      </c>
      <c r="E17" s="5" t="s">
        <v>3055</v>
      </c>
      <c r="F17" s="5" t="s">
        <v>262</v>
      </c>
      <c r="G17" s="5" t="s">
        <v>1576</v>
      </c>
      <c r="H17" s="5" t="s">
        <v>5311</v>
      </c>
      <c r="I17" s="5" t="s">
        <v>5312</v>
      </c>
      <c r="J17" s="5" t="s">
        <v>5335</v>
      </c>
      <c r="K17" s="5" t="s">
        <v>5314</v>
      </c>
      <c r="L17" s="5" t="s">
        <v>5315</v>
      </c>
      <c r="M17" s="5"/>
    </row>
    <row r="18" spans="1:13" ht="57" customHeight="1" x14ac:dyDescent="0.2">
      <c r="A18" s="5" t="s">
        <v>5336</v>
      </c>
      <c r="B18" s="5" t="s">
        <v>1532</v>
      </c>
      <c r="C18" s="5" t="s">
        <v>5336</v>
      </c>
      <c r="D18" s="5" t="s">
        <v>3752</v>
      </c>
      <c r="E18" s="5" t="s">
        <v>3055</v>
      </c>
      <c r="F18" s="5" t="s">
        <v>262</v>
      </c>
      <c r="G18" s="5" t="s">
        <v>1576</v>
      </c>
      <c r="H18" s="5" t="s">
        <v>5311</v>
      </c>
      <c r="I18" s="5" t="s">
        <v>5312</v>
      </c>
      <c r="J18" s="5" t="s">
        <v>5337</v>
      </c>
      <c r="K18" s="5" t="s">
        <v>5314</v>
      </c>
      <c r="L18" s="5" t="s">
        <v>5315</v>
      </c>
      <c r="M18" s="5"/>
    </row>
    <row r="19" spans="1:13" ht="57" customHeight="1" x14ac:dyDescent="0.2">
      <c r="A19" s="5" t="s">
        <v>5338</v>
      </c>
      <c r="B19" s="5" t="s">
        <v>1532</v>
      </c>
      <c r="C19" s="5" t="s">
        <v>5338</v>
      </c>
      <c r="D19" s="5" t="s">
        <v>3776</v>
      </c>
      <c r="E19" s="5" t="s">
        <v>3055</v>
      </c>
      <c r="F19" s="5" t="s">
        <v>262</v>
      </c>
      <c r="G19" s="5" t="s">
        <v>1576</v>
      </c>
      <c r="H19" s="5" t="s">
        <v>5311</v>
      </c>
      <c r="I19" s="5" t="s">
        <v>5312</v>
      </c>
      <c r="J19" s="5" t="s">
        <v>5339</v>
      </c>
      <c r="K19" s="5" t="s">
        <v>5314</v>
      </c>
      <c r="L19" s="5" t="s">
        <v>5315</v>
      </c>
      <c r="M19" s="5"/>
    </row>
    <row r="20" spans="1:13" ht="57" customHeight="1" x14ac:dyDescent="0.2">
      <c r="A20" s="5" t="s">
        <v>5340</v>
      </c>
      <c r="B20" s="5" t="s">
        <v>1532</v>
      </c>
      <c r="C20" s="5" t="s">
        <v>5340</v>
      </c>
      <c r="D20" s="5" t="s">
        <v>3784</v>
      </c>
      <c r="E20" s="5" t="s">
        <v>3055</v>
      </c>
      <c r="F20" s="5" t="s">
        <v>262</v>
      </c>
      <c r="G20" s="5" t="s">
        <v>1576</v>
      </c>
      <c r="H20" s="5" t="s">
        <v>5311</v>
      </c>
      <c r="I20" s="5" t="s">
        <v>5312</v>
      </c>
      <c r="J20" s="5" t="s">
        <v>5341</v>
      </c>
      <c r="K20" s="5" t="s">
        <v>5314</v>
      </c>
      <c r="L20" s="5" t="s">
        <v>5315</v>
      </c>
      <c r="M20" s="5"/>
    </row>
    <row r="21" spans="1:13" ht="57" customHeight="1" x14ac:dyDescent="0.2">
      <c r="A21" s="5" t="s">
        <v>5342</v>
      </c>
      <c r="B21" s="5" t="s">
        <v>1532</v>
      </c>
      <c r="C21" s="5" t="s">
        <v>5342</v>
      </c>
      <c r="D21" s="5" t="s">
        <v>3808</v>
      </c>
      <c r="E21" s="5" t="s">
        <v>3055</v>
      </c>
      <c r="F21" s="5" t="s">
        <v>262</v>
      </c>
      <c r="G21" s="5" t="s">
        <v>1576</v>
      </c>
      <c r="H21" s="5" t="s">
        <v>5311</v>
      </c>
      <c r="I21" s="5" t="s">
        <v>5312</v>
      </c>
      <c r="J21" s="5" t="s">
        <v>5343</v>
      </c>
      <c r="K21" s="5" t="s">
        <v>5314</v>
      </c>
      <c r="L21" s="5" t="s">
        <v>5315</v>
      </c>
      <c r="M21" s="5"/>
    </row>
    <row r="22" spans="1:13" ht="57" customHeight="1" x14ac:dyDescent="0.2">
      <c r="A22" s="5" t="s">
        <v>5344</v>
      </c>
      <c r="B22" s="5" t="s">
        <v>1532</v>
      </c>
      <c r="C22" s="5" t="s">
        <v>5344</v>
      </c>
      <c r="D22" s="5" t="s">
        <v>3816</v>
      </c>
      <c r="E22" s="5" t="s">
        <v>3055</v>
      </c>
      <c r="F22" s="5" t="s">
        <v>262</v>
      </c>
      <c r="G22" s="5" t="s">
        <v>1576</v>
      </c>
      <c r="H22" s="5" t="s">
        <v>5311</v>
      </c>
      <c r="I22" s="5" t="s">
        <v>5312</v>
      </c>
      <c r="J22" s="5" t="s">
        <v>5345</v>
      </c>
      <c r="K22" s="5" t="s">
        <v>5314</v>
      </c>
      <c r="L22" s="5" t="s">
        <v>5315</v>
      </c>
      <c r="M22" s="5"/>
    </row>
    <row r="23" spans="1:13" ht="50.1" customHeight="1" x14ac:dyDescent="0.2">
      <c r="A23" s="5" t="s">
        <v>5346</v>
      </c>
      <c r="B23" s="5" t="s">
        <v>5347</v>
      </c>
      <c r="C23" s="5" t="s">
        <v>5348</v>
      </c>
      <c r="D23" s="5" t="s">
        <v>4074</v>
      </c>
      <c r="E23" s="5" t="s">
        <v>3065</v>
      </c>
      <c r="F23" s="5" t="s">
        <v>278</v>
      </c>
      <c r="G23" s="5" t="s">
        <v>1576</v>
      </c>
      <c r="H23" s="5" t="s">
        <v>5311</v>
      </c>
      <c r="I23" s="5" t="s">
        <v>5349</v>
      </c>
      <c r="J23" s="5" t="s">
        <v>5350</v>
      </c>
      <c r="K23" s="5" t="s">
        <v>5351</v>
      </c>
      <c r="L23" s="5" t="s">
        <v>5352</v>
      </c>
      <c r="M23" s="5"/>
    </row>
    <row r="24" spans="1:13" ht="50.1" customHeight="1" x14ac:dyDescent="0.2">
      <c r="A24" s="5" t="s">
        <v>5353</v>
      </c>
      <c r="B24" s="5" t="s">
        <v>5347</v>
      </c>
      <c r="C24" s="5" t="s">
        <v>5354</v>
      </c>
      <c r="D24" s="5" t="s">
        <v>4078</v>
      </c>
      <c r="E24" s="5" t="s">
        <v>3065</v>
      </c>
      <c r="F24" s="5" t="s">
        <v>278</v>
      </c>
      <c r="G24" s="5" t="s">
        <v>1576</v>
      </c>
      <c r="H24" s="5" t="s">
        <v>5311</v>
      </c>
      <c r="I24" s="5" t="s">
        <v>5349</v>
      </c>
      <c r="J24" s="5" t="s">
        <v>5350</v>
      </c>
      <c r="K24" s="5" t="s">
        <v>5355</v>
      </c>
      <c r="L24" s="5" t="s">
        <v>5352</v>
      </c>
      <c r="M24" s="5"/>
    </row>
    <row r="25" spans="1:13" ht="50.1" customHeight="1" x14ac:dyDescent="0.2">
      <c r="A25" s="5" t="s">
        <v>5356</v>
      </c>
      <c r="B25" s="5" t="s">
        <v>5347</v>
      </c>
      <c r="C25" s="5" t="s">
        <v>5357</v>
      </c>
      <c r="D25" s="5" t="s">
        <v>4082</v>
      </c>
      <c r="E25" s="5" t="s">
        <v>3065</v>
      </c>
      <c r="F25" s="5" t="s">
        <v>278</v>
      </c>
      <c r="G25" s="5" t="s">
        <v>1576</v>
      </c>
      <c r="H25" s="5" t="s">
        <v>5311</v>
      </c>
      <c r="I25" s="5" t="s">
        <v>5349</v>
      </c>
      <c r="J25" s="5" t="s">
        <v>5350</v>
      </c>
      <c r="K25" s="5" t="s">
        <v>5358</v>
      </c>
      <c r="L25" s="5" t="s">
        <v>5352</v>
      </c>
      <c r="M25" s="5"/>
    </row>
    <row r="26" spans="1:13" ht="50.1" customHeight="1" x14ac:dyDescent="0.2">
      <c r="A26" s="5" t="s">
        <v>5359</v>
      </c>
      <c r="B26" s="5" t="s">
        <v>5360</v>
      </c>
      <c r="C26" s="5" t="s">
        <v>5361</v>
      </c>
      <c r="D26" s="5" t="s">
        <v>4087</v>
      </c>
      <c r="E26" s="5" t="s">
        <v>3070</v>
      </c>
      <c r="F26" s="5" t="s">
        <v>283</v>
      </c>
      <c r="G26" s="5" t="s">
        <v>5362</v>
      </c>
      <c r="H26" s="5" t="s">
        <v>5311</v>
      </c>
      <c r="I26" s="5" t="s">
        <v>5363</v>
      </c>
      <c r="J26" s="5" t="s">
        <v>5364</v>
      </c>
      <c r="K26" s="5" t="s">
        <v>5365</v>
      </c>
      <c r="L26" s="5" t="s">
        <v>5366</v>
      </c>
      <c r="M26" s="5"/>
    </row>
    <row r="27" spans="1:13" ht="50.1" customHeight="1" x14ac:dyDescent="0.2">
      <c r="A27" s="5" t="s">
        <v>5367</v>
      </c>
      <c r="B27" s="5" t="s">
        <v>5360</v>
      </c>
      <c r="C27" s="5" t="s">
        <v>5368</v>
      </c>
      <c r="D27" s="5" t="s">
        <v>4092</v>
      </c>
      <c r="E27" s="5" t="s">
        <v>3075</v>
      </c>
      <c r="F27" s="5" t="s">
        <v>283</v>
      </c>
      <c r="G27" s="5" t="s">
        <v>5369</v>
      </c>
      <c r="H27" s="5" t="s">
        <v>5311</v>
      </c>
      <c r="I27" s="5" t="s">
        <v>5363</v>
      </c>
      <c r="J27" s="5" t="s">
        <v>5370</v>
      </c>
      <c r="K27" s="5" t="s">
        <v>5371</v>
      </c>
      <c r="L27" s="5" t="s">
        <v>5366</v>
      </c>
      <c r="M27" s="5"/>
    </row>
    <row r="28" spans="1:13" ht="50.1" customHeight="1" x14ac:dyDescent="0.2">
      <c r="A28" s="5" t="s">
        <v>5372</v>
      </c>
      <c r="B28" s="5" t="s">
        <v>5360</v>
      </c>
      <c r="C28" s="5" t="s">
        <v>5373</v>
      </c>
      <c r="D28" s="5" t="s">
        <v>4096</v>
      </c>
      <c r="E28" s="5" t="s">
        <v>3070</v>
      </c>
      <c r="F28" s="5" t="s">
        <v>283</v>
      </c>
      <c r="G28" s="5" t="s">
        <v>5362</v>
      </c>
      <c r="H28" s="5" t="s">
        <v>5311</v>
      </c>
      <c r="I28" s="5" t="s">
        <v>5363</v>
      </c>
      <c r="J28" s="5" t="s">
        <v>5374</v>
      </c>
      <c r="K28" s="5" t="s">
        <v>5375</v>
      </c>
      <c r="L28" s="5" t="s">
        <v>5366</v>
      </c>
      <c r="M28" s="5"/>
    </row>
    <row r="29" spans="1:13" ht="57" customHeight="1" x14ac:dyDescent="0.2">
      <c r="A29" s="5" t="s">
        <v>5376</v>
      </c>
      <c r="B29" s="5" t="s">
        <v>5377</v>
      </c>
      <c r="C29" s="5" t="s">
        <v>5376</v>
      </c>
      <c r="D29" s="5" t="s">
        <v>4122</v>
      </c>
      <c r="E29" s="5" t="s">
        <v>3070</v>
      </c>
      <c r="F29" s="5" t="s">
        <v>288</v>
      </c>
      <c r="G29" s="5" t="s">
        <v>1576</v>
      </c>
      <c r="H29" s="5" t="s">
        <v>5311</v>
      </c>
      <c r="I29" s="5" t="s">
        <v>5378</v>
      </c>
      <c r="J29" s="5" t="s">
        <v>5379</v>
      </c>
      <c r="K29" s="5" t="s">
        <v>5380</v>
      </c>
      <c r="L29" s="5" t="s">
        <v>5381</v>
      </c>
      <c r="M29" s="5"/>
    </row>
    <row r="30" spans="1:13" ht="57" customHeight="1" x14ac:dyDescent="0.2">
      <c r="A30" s="5" t="s">
        <v>5382</v>
      </c>
      <c r="B30" s="5" t="s">
        <v>5377</v>
      </c>
      <c r="C30" s="5" t="s">
        <v>5382</v>
      </c>
      <c r="D30" s="5" t="s">
        <v>4125</v>
      </c>
      <c r="E30" s="5" t="s">
        <v>3075</v>
      </c>
      <c r="F30" s="5" t="s">
        <v>288</v>
      </c>
      <c r="G30" s="5" t="s">
        <v>5369</v>
      </c>
      <c r="H30" s="5" t="s">
        <v>5311</v>
      </c>
      <c r="I30" s="5" t="s">
        <v>5378</v>
      </c>
      <c r="J30" s="5" t="s">
        <v>5383</v>
      </c>
      <c r="K30" s="5" t="s">
        <v>5384</v>
      </c>
      <c r="L30" s="5" t="s">
        <v>5381</v>
      </c>
      <c r="M30" s="5"/>
    </row>
    <row r="31" spans="1:13" ht="57" customHeight="1" x14ac:dyDescent="0.2">
      <c r="A31" s="5" t="s">
        <v>5385</v>
      </c>
      <c r="B31" s="5" t="s">
        <v>5377</v>
      </c>
      <c r="C31" s="5" t="s">
        <v>5385</v>
      </c>
      <c r="D31" s="5" t="s">
        <v>4125</v>
      </c>
      <c r="E31" s="5" t="s">
        <v>3070</v>
      </c>
      <c r="F31" s="5" t="s">
        <v>288</v>
      </c>
      <c r="G31" s="5" t="s">
        <v>5362</v>
      </c>
      <c r="H31" s="5" t="s">
        <v>5311</v>
      </c>
      <c r="I31" s="5" t="s">
        <v>5378</v>
      </c>
      <c r="J31" s="5" t="s">
        <v>5386</v>
      </c>
      <c r="K31" s="5" t="s">
        <v>5380</v>
      </c>
      <c r="L31" s="5" t="s">
        <v>5381</v>
      </c>
      <c r="M31" s="5"/>
    </row>
    <row r="32" spans="1:13" ht="57" customHeight="1" x14ac:dyDescent="0.2">
      <c r="A32" s="5" t="s">
        <v>5387</v>
      </c>
      <c r="B32" s="5" t="s">
        <v>5377</v>
      </c>
      <c r="C32" s="5" t="s">
        <v>5387</v>
      </c>
      <c r="D32" s="5" t="s">
        <v>4141</v>
      </c>
      <c r="E32" s="5" t="s">
        <v>3070</v>
      </c>
      <c r="F32" s="5" t="s">
        <v>288</v>
      </c>
      <c r="G32" s="5" t="s">
        <v>1576</v>
      </c>
      <c r="H32" s="5" t="s">
        <v>5311</v>
      </c>
      <c r="I32" s="5" t="s">
        <v>5378</v>
      </c>
      <c r="J32" s="5" t="s">
        <v>5388</v>
      </c>
      <c r="K32" s="5" t="s">
        <v>5389</v>
      </c>
      <c r="L32" s="5" t="s">
        <v>5381</v>
      </c>
      <c r="M32" s="5"/>
    </row>
    <row r="33" spans="1:13" ht="57" customHeight="1" x14ac:dyDescent="0.2">
      <c r="A33" s="5" t="s">
        <v>5390</v>
      </c>
      <c r="B33" s="5" t="s">
        <v>5377</v>
      </c>
      <c r="C33" s="5" t="s">
        <v>5390</v>
      </c>
      <c r="D33" s="5" t="s">
        <v>4144</v>
      </c>
      <c r="E33" s="5" t="s">
        <v>3075</v>
      </c>
      <c r="F33" s="5" t="s">
        <v>288</v>
      </c>
      <c r="G33" s="5" t="s">
        <v>5369</v>
      </c>
      <c r="H33" s="5" t="s">
        <v>5311</v>
      </c>
      <c r="I33" s="5" t="s">
        <v>5378</v>
      </c>
      <c r="J33" s="5" t="s">
        <v>5383</v>
      </c>
      <c r="K33" s="5" t="s">
        <v>5391</v>
      </c>
      <c r="L33" s="5" t="s">
        <v>5381</v>
      </c>
      <c r="M33" s="5"/>
    </row>
    <row r="34" spans="1:13" ht="57" customHeight="1" x14ac:dyDescent="0.2">
      <c r="A34" s="5" t="s">
        <v>5392</v>
      </c>
      <c r="B34" s="5" t="s">
        <v>5377</v>
      </c>
      <c r="C34" s="5" t="s">
        <v>5392</v>
      </c>
      <c r="D34" s="5" t="s">
        <v>4144</v>
      </c>
      <c r="E34" s="5" t="s">
        <v>3070</v>
      </c>
      <c r="F34" s="5" t="s">
        <v>288</v>
      </c>
      <c r="G34" s="5" t="s">
        <v>5362</v>
      </c>
      <c r="H34" s="5" t="s">
        <v>5311</v>
      </c>
      <c r="I34" s="5" t="s">
        <v>5378</v>
      </c>
      <c r="J34" s="5" t="s">
        <v>5386</v>
      </c>
      <c r="K34" s="5" t="s">
        <v>5389</v>
      </c>
      <c r="L34" s="5" t="s">
        <v>5381</v>
      </c>
      <c r="M34" s="5"/>
    </row>
    <row r="35" spans="1:13" ht="57" customHeight="1" x14ac:dyDescent="0.2">
      <c r="A35" s="5" t="s">
        <v>5393</v>
      </c>
      <c r="B35" s="5" t="s">
        <v>5394</v>
      </c>
      <c r="C35" s="5" t="s">
        <v>5393</v>
      </c>
      <c r="D35" s="5" t="s">
        <v>4162</v>
      </c>
      <c r="E35" s="5" t="s">
        <v>3070</v>
      </c>
      <c r="F35" s="5" t="s">
        <v>293</v>
      </c>
      <c r="G35" s="5" t="s">
        <v>1576</v>
      </c>
      <c r="H35" s="5" t="s">
        <v>5311</v>
      </c>
      <c r="I35" s="5" t="s">
        <v>5378</v>
      </c>
      <c r="J35" s="5" t="s">
        <v>5395</v>
      </c>
      <c r="K35" s="5" t="s">
        <v>5396</v>
      </c>
      <c r="L35" s="5" t="s">
        <v>5381</v>
      </c>
      <c r="M35" s="5"/>
    </row>
    <row r="36" spans="1:13" ht="57" customHeight="1" x14ac:dyDescent="0.2">
      <c r="A36" s="5" t="s">
        <v>5397</v>
      </c>
      <c r="B36" s="5" t="s">
        <v>5394</v>
      </c>
      <c r="C36" s="5" t="s">
        <v>5397</v>
      </c>
      <c r="D36" s="5" t="s">
        <v>4165</v>
      </c>
      <c r="E36" s="5" t="s">
        <v>3075</v>
      </c>
      <c r="F36" s="5" t="s">
        <v>293</v>
      </c>
      <c r="G36" s="5" t="s">
        <v>5369</v>
      </c>
      <c r="H36" s="5" t="s">
        <v>5311</v>
      </c>
      <c r="I36" s="5" t="s">
        <v>5378</v>
      </c>
      <c r="J36" s="5" t="s">
        <v>5383</v>
      </c>
      <c r="K36" s="5" t="s">
        <v>5398</v>
      </c>
      <c r="L36" s="5" t="s">
        <v>5381</v>
      </c>
      <c r="M36" s="5"/>
    </row>
    <row r="37" spans="1:13" ht="57" customHeight="1" x14ac:dyDescent="0.2">
      <c r="A37" s="5" t="s">
        <v>5399</v>
      </c>
      <c r="B37" s="5" t="s">
        <v>5394</v>
      </c>
      <c r="C37" s="5" t="s">
        <v>5399</v>
      </c>
      <c r="D37" s="5" t="s">
        <v>4165</v>
      </c>
      <c r="E37" s="5" t="s">
        <v>3070</v>
      </c>
      <c r="F37" s="5" t="s">
        <v>293</v>
      </c>
      <c r="G37" s="5" t="s">
        <v>5362</v>
      </c>
      <c r="H37" s="5" t="s">
        <v>5311</v>
      </c>
      <c r="I37" s="5" t="s">
        <v>5378</v>
      </c>
      <c r="J37" s="5" t="s">
        <v>5386</v>
      </c>
      <c r="K37" s="5" t="s">
        <v>5396</v>
      </c>
      <c r="L37" s="5" t="s">
        <v>5381</v>
      </c>
      <c r="M37" s="5"/>
    </row>
    <row r="38" spans="1:13" ht="57" customHeight="1" x14ac:dyDescent="0.2">
      <c r="A38" s="5" t="s">
        <v>5400</v>
      </c>
      <c r="B38" s="5" t="s">
        <v>5401</v>
      </c>
      <c r="C38" s="5" t="s">
        <v>5400</v>
      </c>
      <c r="D38" s="5" t="s">
        <v>4183</v>
      </c>
      <c r="E38" s="5" t="s">
        <v>3070</v>
      </c>
      <c r="F38" s="5" t="s">
        <v>298</v>
      </c>
      <c r="G38" s="5" t="s">
        <v>1576</v>
      </c>
      <c r="H38" s="5" t="s">
        <v>5311</v>
      </c>
      <c r="I38" s="5" t="s">
        <v>5378</v>
      </c>
      <c r="J38" s="5" t="s">
        <v>5402</v>
      </c>
      <c r="K38" s="5" t="s">
        <v>5403</v>
      </c>
      <c r="L38" s="5" t="s">
        <v>5381</v>
      </c>
      <c r="M38" s="5"/>
    </row>
    <row r="39" spans="1:13" ht="57" customHeight="1" x14ac:dyDescent="0.2">
      <c r="A39" s="5" t="s">
        <v>5404</v>
      </c>
      <c r="B39" s="5" t="s">
        <v>5401</v>
      </c>
      <c r="C39" s="5" t="s">
        <v>5404</v>
      </c>
      <c r="D39" s="5" t="s">
        <v>4186</v>
      </c>
      <c r="E39" s="5" t="s">
        <v>3075</v>
      </c>
      <c r="F39" s="5" t="s">
        <v>298</v>
      </c>
      <c r="G39" s="5" t="s">
        <v>5369</v>
      </c>
      <c r="H39" s="5" t="s">
        <v>5311</v>
      </c>
      <c r="I39" s="5" t="s">
        <v>5378</v>
      </c>
      <c r="J39" s="5" t="s">
        <v>5383</v>
      </c>
      <c r="K39" s="5" t="s">
        <v>5405</v>
      </c>
      <c r="L39" s="5" t="s">
        <v>5381</v>
      </c>
      <c r="M39" s="5"/>
    </row>
    <row r="40" spans="1:13" ht="57" customHeight="1" x14ac:dyDescent="0.2">
      <c r="A40" s="5" t="s">
        <v>5406</v>
      </c>
      <c r="B40" s="5" t="s">
        <v>5401</v>
      </c>
      <c r="C40" s="5" t="s">
        <v>5406</v>
      </c>
      <c r="D40" s="5" t="s">
        <v>4186</v>
      </c>
      <c r="E40" s="5" t="s">
        <v>3070</v>
      </c>
      <c r="F40" s="5" t="s">
        <v>298</v>
      </c>
      <c r="G40" s="5" t="s">
        <v>5362</v>
      </c>
      <c r="H40" s="5" t="s">
        <v>5311</v>
      </c>
      <c r="I40" s="5" t="s">
        <v>5378</v>
      </c>
      <c r="J40" s="5" t="s">
        <v>5386</v>
      </c>
      <c r="K40" s="5" t="s">
        <v>5403</v>
      </c>
      <c r="L40" s="5" t="s">
        <v>5381</v>
      </c>
      <c r="M40" s="5"/>
    </row>
    <row r="41" spans="1:13" ht="72" customHeight="1" x14ac:dyDescent="0.2">
      <c r="A41" s="5" t="s">
        <v>5407</v>
      </c>
      <c r="B41" s="5" t="s">
        <v>5408</v>
      </c>
      <c r="C41" s="5" t="s">
        <v>5407</v>
      </c>
      <c r="D41" s="5" t="s">
        <v>4204</v>
      </c>
      <c r="E41" s="5" t="s">
        <v>3070</v>
      </c>
      <c r="F41" s="5" t="s">
        <v>303</v>
      </c>
      <c r="G41" s="5" t="s">
        <v>1576</v>
      </c>
      <c r="H41" s="5" t="s">
        <v>5311</v>
      </c>
      <c r="I41" s="5" t="s">
        <v>5378</v>
      </c>
      <c r="J41" s="5" t="s">
        <v>5409</v>
      </c>
      <c r="K41" s="5" t="s">
        <v>5410</v>
      </c>
      <c r="L41" s="5" t="s">
        <v>5381</v>
      </c>
      <c r="M41" s="5"/>
    </row>
    <row r="42" spans="1:13" ht="57" customHeight="1" x14ac:dyDescent="0.2">
      <c r="A42" s="5" t="s">
        <v>5411</v>
      </c>
      <c r="B42" s="5" t="s">
        <v>5408</v>
      </c>
      <c r="C42" s="5" t="s">
        <v>5411</v>
      </c>
      <c r="D42" s="5" t="s">
        <v>4207</v>
      </c>
      <c r="E42" s="5" t="s">
        <v>3075</v>
      </c>
      <c r="F42" s="5" t="s">
        <v>303</v>
      </c>
      <c r="G42" s="5" t="s">
        <v>5369</v>
      </c>
      <c r="H42" s="5" t="s">
        <v>5311</v>
      </c>
      <c r="I42" s="5" t="s">
        <v>5378</v>
      </c>
      <c r="J42" s="5" t="s">
        <v>5383</v>
      </c>
      <c r="K42" s="5" t="s">
        <v>5412</v>
      </c>
      <c r="L42" s="5" t="s">
        <v>5381</v>
      </c>
      <c r="M42" s="5"/>
    </row>
    <row r="43" spans="1:13" ht="57" customHeight="1" x14ac:dyDescent="0.2">
      <c r="A43" s="5" t="s">
        <v>5413</v>
      </c>
      <c r="B43" s="5" t="s">
        <v>5408</v>
      </c>
      <c r="C43" s="5" t="s">
        <v>5413</v>
      </c>
      <c r="D43" s="5" t="s">
        <v>4207</v>
      </c>
      <c r="E43" s="5" t="s">
        <v>3070</v>
      </c>
      <c r="F43" s="5" t="s">
        <v>303</v>
      </c>
      <c r="G43" s="5" t="s">
        <v>5362</v>
      </c>
      <c r="H43" s="5" t="s">
        <v>5311</v>
      </c>
      <c r="I43" s="5" t="s">
        <v>5378</v>
      </c>
      <c r="J43" s="5" t="s">
        <v>5386</v>
      </c>
      <c r="K43" s="5" t="s">
        <v>5410</v>
      </c>
      <c r="L43" s="5" t="s">
        <v>5381</v>
      </c>
      <c r="M43" s="5"/>
    </row>
    <row r="44" spans="1:13" ht="72" customHeight="1" x14ac:dyDescent="0.2">
      <c r="A44" s="5" t="s">
        <v>5414</v>
      </c>
      <c r="B44" s="5" t="s">
        <v>5415</v>
      </c>
      <c r="C44" s="5" t="s">
        <v>5414</v>
      </c>
      <c r="D44" s="5" t="s">
        <v>4225</v>
      </c>
      <c r="E44" s="5" t="s">
        <v>3070</v>
      </c>
      <c r="F44" s="5" t="s">
        <v>308</v>
      </c>
      <c r="G44" s="5" t="s">
        <v>1576</v>
      </c>
      <c r="H44" s="5" t="s">
        <v>5311</v>
      </c>
      <c r="I44" s="5" t="s">
        <v>5378</v>
      </c>
      <c r="J44" s="5" t="s">
        <v>5416</v>
      </c>
      <c r="K44" s="5" t="s">
        <v>5417</v>
      </c>
      <c r="L44" s="5" t="s">
        <v>5381</v>
      </c>
      <c r="M44" s="5"/>
    </row>
    <row r="45" spans="1:13" ht="57" customHeight="1" x14ac:dyDescent="0.2">
      <c r="A45" s="5" t="s">
        <v>5418</v>
      </c>
      <c r="B45" s="5" t="s">
        <v>5415</v>
      </c>
      <c r="C45" s="5" t="s">
        <v>5418</v>
      </c>
      <c r="D45" s="5" t="s">
        <v>4228</v>
      </c>
      <c r="E45" s="5" t="s">
        <v>3075</v>
      </c>
      <c r="F45" s="5" t="s">
        <v>308</v>
      </c>
      <c r="G45" s="5" t="s">
        <v>5369</v>
      </c>
      <c r="H45" s="5" t="s">
        <v>5311</v>
      </c>
      <c r="I45" s="5" t="s">
        <v>5378</v>
      </c>
      <c r="J45" s="5" t="s">
        <v>5383</v>
      </c>
      <c r="K45" s="5" t="s">
        <v>5419</v>
      </c>
      <c r="L45" s="5" t="s">
        <v>5381</v>
      </c>
      <c r="M45" s="5"/>
    </row>
    <row r="46" spans="1:13" ht="57" customHeight="1" x14ac:dyDescent="0.2">
      <c r="A46" s="5" t="s">
        <v>5420</v>
      </c>
      <c r="B46" s="5" t="s">
        <v>5415</v>
      </c>
      <c r="C46" s="5" t="s">
        <v>5420</v>
      </c>
      <c r="D46" s="5" t="s">
        <v>4228</v>
      </c>
      <c r="E46" s="5" t="s">
        <v>3070</v>
      </c>
      <c r="F46" s="5" t="s">
        <v>308</v>
      </c>
      <c r="G46" s="5" t="s">
        <v>5362</v>
      </c>
      <c r="H46" s="5" t="s">
        <v>5311</v>
      </c>
      <c r="I46" s="5" t="s">
        <v>5378</v>
      </c>
      <c r="J46" s="5" t="s">
        <v>5386</v>
      </c>
      <c r="K46" s="5" t="s">
        <v>5417</v>
      </c>
      <c r="L46" s="5" t="s">
        <v>5381</v>
      </c>
      <c r="M46" s="5"/>
    </row>
    <row r="47" spans="1:13" ht="72" customHeight="1" x14ac:dyDescent="0.2">
      <c r="A47" s="5" t="s">
        <v>5421</v>
      </c>
      <c r="B47" s="5" t="s">
        <v>5415</v>
      </c>
      <c r="C47" s="5" t="s">
        <v>5421</v>
      </c>
      <c r="D47" s="5" t="s">
        <v>4244</v>
      </c>
      <c r="E47" s="5" t="s">
        <v>3070</v>
      </c>
      <c r="F47" s="5" t="s">
        <v>308</v>
      </c>
      <c r="G47" s="5" t="s">
        <v>1576</v>
      </c>
      <c r="H47" s="5" t="s">
        <v>5311</v>
      </c>
      <c r="I47" s="5" t="s">
        <v>5378</v>
      </c>
      <c r="J47" s="5" t="s">
        <v>5416</v>
      </c>
      <c r="K47" s="5" t="s">
        <v>5422</v>
      </c>
      <c r="L47" s="5" t="s">
        <v>5381</v>
      </c>
      <c r="M47" s="5"/>
    </row>
    <row r="48" spans="1:13" ht="57" customHeight="1" x14ac:dyDescent="0.2">
      <c r="A48" s="5" t="s">
        <v>5423</v>
      </c>
      <c r="B48" s="5" t="s">
        <v>5415</v>
      </c>
      <c r="C48" s="5" t="s">
        <v>5423</v>
      </c>
      <c r="D48" s="5" t="s">
        <v>4247</v>
      </c>
      <c r="E48" s="5" t="s">
        <v>3075</v>
      </c>
      <c r="F48" s="5" t="s">
        <v>308</v>
      </c>
      <c r="G48" s="5" t="s">
        <v>5369</v>
      </c>
      <c r="H48" s="5" t="s">
        <v>5311</v>
      </c>
      <c r="I48" s="5" t="s">
        <v>5378</v>
      </c>
      <c r="J48" s="5" t="s">
        <v>5383</v>
      </c>
      <c r="K48" s="5" t="s">
        <v>5424</v>
      </c>
      <c r="L48" s="5" t="s">
        <v>5381</v>
      </c>
      <c r="M48" s="5"/>
    </row>
    <row r="49" spans="1:13" ht="57" customHeight="1" x14ac:dyDescent="0.2">
      <c r="A49" s="5" t="s">
        <v>5425</v>
      </c>
      <c r="B49" s="5" t="s">
        <v>5415</v>
      </c>
      <c r="C49" s="5" t="s">
        <v>5425</v>
      </c>
      <c r="D49" s="5" t="s">
        <v>4247</v>
      </c>
      <c r="E49" s="5" t="s">
        <v>3070</v>
      </c>
      <c r="F49" s="5" t="s">
        <v>308</v>
      </c>
      <c r="G49" s="5" t="s">
        <v>5362</v>
      </c>
      <c r="H49" s="5" t="s">
        <v>5311</v>
      </c>
      <c r="I49" s="5" t="s">
        <v>5378</v>
      </c>
      <c r="J49" s="5" t="s">
        <v>5386</v>
      </c>
      <c r="K49" s="5" t="s">
        <v>5422</v>
      </c>
      <c r="L49" s="5" t="s">
        <v>5381</v>
      </c>
      <c r="M49" s="5"/>
    </row>
    <row r="50" spans="1:13" ht="57" customHeight="1" x14ac:dyDescent="0.2">
      <c r="A50" s="5" t="s">
        <v>5426</v>
      </c>
      <c r="B50" s="5" t="s">
        <v>5427</v>
      </c>
      <c r="C50" s="5" t="s">
        <v>5428</v>
      </c>
      <c r="D50" s="5" t="s">
        <v>4125</v>
      </c>
      <c r="E50" s="5" t="s">
        <v>3070</v>
      </c>
      <c r="F50" s="5" t="s">
        <v>313</v>
      </c>
      <c r="G50" s="5" t="s">
        <v>5429</v>
      </c>
      <c r="H50" s="5" t="s">
        <v>5311</v>
      </c>
      <c r="I50" s="5" t="s">
        <v>5430</v>
      </c>
      <c r="J50" s="5" t="s">
        <v>5431</v>
      </c>
      <c r="K50" s="5" t="s">
        <v>5432</v>
      </c>
      <c r="L50" s="5" t="s">
        <v>5433</v>
      </c>
      <c r="M50" s="5"/>
    </row>
    <row r="51" spans="1:13" ht="57" customHeight="1" x14ac:dyDescent="0.2">
      <c r="A51" s="5" t="s">
        <v>5434</v>
      </c>
      <c r="B51" s="5" t="s">
        <v>5427</v>
      </c>
      <c r="C51" s="5" t="s">
        <v>5435</v>
      </c>
      <c r="D51" s="5" t="s">
        <v>4165</v>
      </c>
      <c r="E51" s="5" t="s">
        <v>3070</v>
      </c>
      <c r="F51" s="5" t="s">
        <v>313</v>
      </c>
      <c r="G51" s="5" t="s">
        <v>5429</v>
      </c>
      <c r="H51" s="5" t="s">
        <v>5311</v>
      </c>
      <c r="I51" s="5" t="s">
        <v>5430</v>
      </c>
      <c r="J51" s="5" t="s">
        <v>5431</v>
      </c>
      <c r="K51" s="5" t="s">
        <v>5432</v>
      </c>
      <c r="L51" s="5" t="s">
        <v>5433</v>
      </c>
      <c r="M51" s="5"/>
    </row>
    <row r="52" spans="1:13" ht="57" customHeight="1" x14ac:dyDescent="0.2">
      <c r="A52" s="5" t="s">
        <v>5436</v>
      </c>
      <c r="B52" s="5" t="s">
        <v>5427</v>
      </c>
      <c r="C52" s="5" t="s">
        <v>5437</v>
      </c>
      <c r="D52" s="5" t="s">
        <v>4144</v>
      </c>
      <c r="E52" s="5" t="s">
        <v>3070</v>
      </c>
      <c r="F52" s="5" t="s">
        <v>313</v>
      </c>
      <c r="G52" s="5" t="s">
        <v>5429</v>
      </c>
      <c r="H52" s="5" t="s">
        <v>5311</v>
      </c>
      <c r="I52" s="5" t="s">
        <v>5430</v>
      </c>
      <c r="J52" s="5" t="s">
        <v>5431</v>
      </c>
      <c r="K52" s="5" t="s">
        <v>5432</v>
      </c>
      <c r="L52" s="5" t="s">
        <v>5433</v>
      </c>
      <c r="M52" s="5"/>
    </row>
    <row r="53" spans="1:13" ht="57" customHeight="1" x14ac:dyDescent="0.2">
      <c r="A53" s="5" t="s">
        <v>5438</v>
      </c>
      <c r="B53" s="5" t="s">
        <v>5427</v>
      </c>
      <c r="C53" s="5" t="s">
        <v>5439</v>
      </c>
      <c r="D53" s="5" t="s">
        <v>4186</v>
      </c>
      <c r="E53" s="5" t="s">
        <v>3070</v>
      </c>
      <c r="F53" s="5" t="s">
        <v>313</v>
      </c>
      <c r="G53" s="5" t="s">
        <v>5429</v>
      </c>
      <c r="H53" s="5" t="s">
        <v>5311</v>
      </c>
      <c r="I53" s="5" t="s">
        <v>5430</v>
      </c>
      <c r="J53" s="5" t="s">
        <v>5431</v>
      </c>
      <c r="K53" s="5" t="s">
        <v>5432</v>
      </c>
      <c r="L53" s="5" t="s">
        <v>5433</v>
      </c>
      <c r="M53" s="5"/>
    </row>
    <row r="54" spans="1:13" ht="57" customHeight="1" x14ac:dyDescent="0.2">
      <c r="A54" s="5" t="s">
        <v>5440</v>
      </c>
      <c r="B54" s="5" t="s">
        <v>5427</v>
      </c>
      <c r="C54" s="5" t="s">
        <v>5441</v>
      </c>
      <c r="D54" s="5" t="s">
        <v>4207</v>
      </c>
      <c r="E54" s="5" t="s">
        <v>3070</v>
      </c>
      <c r="F54" s="5" t="s">
        <v>313</v>
      </c>
      <c r="G54" s="5" t="s">
        <v>5429</v>
      </c>
      <c r="H54" s="5" t="s">
        <v>5311</v>
      </c>
      <c r="I54" s="5" t="s">
        <v>5430</v>
      </c>
      <c r="J54" s="5" t="s">
        <v>5431</v>
      </c>
      <c r="K54" s="5" t="s">
        <v>5432</v>
      </c>
      <c r="L54" s="5" t="s">
        <v>5433</v>
      </c>
      <c r="M54" s="5"/>
    </row>
    <row r="55" spans="1:13" ht="57" customHeight="1" x14ac:dyDescent="0.2">
      <c r="A55" s="5" t="s">
        <v>5442</v>
      </c>
      <c r="B55" s="5" t="s">
        <v>5427</v>
      </c>
      <c r="C55" s="5" t="s">
        <v>5443</v>
      </c>
      <c r="D55" s="5" t="s">
        <v>4228</v>
      </c>
      <c r="E55" s="5" t="s">
        <v>3070</v>
      </c>
      <c r="F55" s="5" t="s">
        <v>313</v>
      </c>
      <c r="G55" s="5" t="s">
        <v>5429</v>
      </c>
      <c r="H55" s="5" t="s">
        <v>5311</v>
      </c>
      <c r="I55" s="5" t="s">
        <v>5430</v>
      </c>
      <c r="J55" s="5" t="s">
        <v>5431</v>
      </c>
      <c r="K55" s="5" t="s">
        <v>5432</v>
      </c>
      <c r="L55" s="5" t="s">
        <v>5433</v>
      </c>
      <c r="M55" s="5"/>
    </row>
    <row r="56" spans="1:13" ht="57" customHeight="1" x14ac:dyDescent="0.2">
      <c r="A56" s="5" t="s">
        <v>5444</v>
      </c>
      <c r="B56" s="5" t="s">
        <v>5427</v>
      </c>
      <c r="C56" s="5" t="s">
        <v>5445</v>
      </c>
      <c r="D56" s="5" t="s">
        <v>4247</v>
      </c>
      <c r="E56" s="5" t="s">
        <v>3070</v>
      </c>
      <c r="F56" s="5" t="s">
        <v>313</v>
      </c>
      <c r="G56" s="5" t="s">
        <v>5429</v>
      </c>
      <c r="H56" s="5" t="s">
        <v>5311</v>
      </c>
      <c r="I56" s="5" t="s">
        <v>5430</v>
      </c>
      <c r="J56" s="5" t="s">
        <v>5431</v>
      </c>
      <c r="K56" s="5" t="s">
        <v>5432</v>
      </c>
      <c r="L56" s="5" t="s">
        <v>5433</v>
      </c>
      <c r="M56" s="5"/>
    </row>
    <row r="57" spans="1:13" ht="57" customHeight="1" x14ac:dyDescent="0.2">
      <c r="A57" s="5" t="s">
        <v>5446</v>
      </c>
      <c r="B57" s="5" t="s">
        <v>5447</v>
      </c>
      <c r="C57" s="5" t="s">
        <v>5448</v>
      </c>
      <c r="D57" s="5" t="s">
        <v>4367</v>
      </c>
      <c r="E57" s="5" t="s">
        <v>3075</v>
      </c>
      <c r="F57" s="5" t="s">
        <v>317</v>
      </c>
      <c r="G57" s="5" t="s">
        <v>5369</v>
      </c>
      <c r="H57" s="5" t="s">
        <v>5311</v>
      </c>
      <c r="I57" s="5" t="s">
        <v>5449</v>
      </c>
      <c r="J57" s="5" t="s">
        <v>5450</v>
      </c>
      <c r="K57" s="5" t="s">
        <v>5451</v>
      </c>
      <c r="L57" s="5" t="s">
        <v>5452</v>
      </c>
      <c r="M57" s="5"/>
    </row>
    <row r="58" spans="1:13" ht="57" customHeight="1" x14ac:dyDescent="0.2">
      <c r="A58" s="5" t="s">
        <v>5453</v>
      </c>
      <c r="B58" s="5" t="s">
        <v>5454</v>
      </c>
      <c r="C58" s="5" t="s">
        <v>5455</v>
      </c>
      <c r="D58" s="5" t="s">
        <v>4367</v>
      </c>
      <c r="E58" s="5" t="s">
        <v>3070</v>
      </c>
      <c r="F58" s="5" t="s">
        <v>153</v>
      </c>
      <c r="G58" s="5" t="s">
        <v>5362</v>
      </c>
      <c r="H58" s="5" t="s">
        <v>5311</v>
      </c>
      <c r="I58" s="5" t="s">
        <v>5456</v>
      </c>
      <c r="J58" s="5" t="s">
        <v>5457</v>
      </c>
      <c r="K58" s="5" t="s">
        <v>5458</v>
      </c>
      <c r="L58" s="5" t="s">
        <v>5459</v>
      </c>
      <c r="M58" s="5"/>
    </row>
    <row r="59" spans="1:13" ht="57" customHeight="1" x14ac:dyDescent="0.2">
      <c r="A59" s="5" t="s">
        <v>5460</v>
      </c>
      <c r="B59" s="5" t="s">
        <v>5454</v>
      </c>
      <c r="C59" s="5" t="s">
        <v>5461</v>
      </c>
      <c r="D59" s="5" t="s">
        <v>4367</v>
      </c>
      <c r="E59" s="5" t="s">
        <v>3065</v>
      </c>
      <c r="F59" s="5" t="s">
        <v>153</v>
      </c>
      <c r="G59" s="5" t="s">
        <v>1576</v>
      </c>
      <c r="H59" s="5" t="s">
        <v>5311</v>
      </c>
      <c r="I59" s="5" t="s">
        <v>5456</v>
      </c>
      <c r="J59" s="5" t="s">
        <v>5462</v>
      </c>
      <c r="K59" s="5" t="s">
        <v>5458</v>
      </c>
      <c r="L59" s="5" t="s">
        <v>5459</v>
      </c>
      <c r="M59" s="5"/>
    </row>
    <row r="60" spans="1:13" ht="57" customHeight="1" x14ac:dyDescent="0.2">
      <c r="A60" s="5" t="s">
        <v>5463</v>
      </c>
      <c r="B60" s="5" t="s">
        <v>5454</v>
      </c>
      <c r="C60" s="5" t="s">
        <v>5464</v>
      </c>
      <c r="D60" s="5" t="s">
        <v>4367</v>
      </c>
      <c r="E60" s="5" t="s">
        <v>3055</v>
      </c>
      <c r="F60" s="5" t="s">
        <v>153</v>
      </c>
      <c r="G60" s="5" t="s">
        <v>76</v>
      </c>
      <c r="H60" s="5" t="s">
        <v>5311</v>
      </c>
      <c r="I60" s="5" t="s">
        <v>5456</v>
      </c>
      <c r="J60" s="5" t="s">
        <v>5465</v>
      </c>
      <c r="K60" s="5" t="s">
        <v>5458</v>
      </c>
      <c r="L60" s="5" t="s">
        <v>5459</v>
      </c>
      <c r="M60" s="5"/>
    </row>
    <row r="61" spans="1:13" ht="57" customHeight="1" x14ac:dyDescent="0.2">
      <c r="A61" s="5" t="s">
        <v>5466</v>
      </c>
      <c r="B61" s="5" t="s">
        <v>5454</v>
      </c>
      <c r="C61" s="5" t="s">
        <v>5467</v>
      </c>
      <c r="D61" s="5" t="s">
        <v>4367</v>
      </c>
      <c r="E61" s="5" t="s">
        <v>3075</v>
      </c>
      <c r="F61" s="5" t="s">
        <v>153</v>
      </c>
      <c r="G61" s="5" t="s">
        <v>5369</v>
      </c>
      <c r="H61" s="5" t="s">
        <v>5311</v>
      </c>
      <c r="I61" s="5" t="s">
        <v>5456</v>
      </c>
      <c r="J61" s="5" t="s">
        <v>5468</v>
      </c>
      <c r="K61" s="5" t="s">
        <v>5458</v>
      </c>
      <c r="L61" s="5" t="s">
        <v>5459</v>
      </c>
      <c r="M61" s="5"/>
    </row>
  </sheetData>
  <conditionalFormatting sqref="H7:J1200">
    <cfRule type="containsText" dxfId="6" priority="1" operator="containsText" text="BLOCK"/>
  </conditionalFormatting>
  <dataValidations count="6">
    <dataValidation type="list" sqref="D7:D1200" xr:uid="{00000000-0002-0000-1000-000000000000}">
      <formula1>og_list_8</formula1>
    </dataValidation>
    <dataValidation type="list" sqref="E7:E1200" xr:uid="{00000000-0002-0000-1000-000001000000}">
      <formula1>og_list_19</formula1>
    </dataValidation>
    <dataValidation type="list" sqref="F7:F1200" xr:uid="{00000000-0002-0000-1000-000002000000}">
      <formula1>og_list_3</formula1>
    </dataValidation>
    <dataValidation type="list" sqref="G7:G1200" xr:uid="{00000000-0002-0000-1000-000003000000}">
      <formula1>"STRUCTURAL,SEMANTIC,VISUAL,LINK,OFFLINE,CLONE,CONFORMANCE"</formula1>
    </dataValidation>
    <dataValidation type="list" sqref="H7:H1200" xr:uid="{00000000-0002-0000-1000-000004000000}">
      <formula1>"NOT RUN,PASS,FAIL,BLOCKED,NOT APPLICABLE"</formula1>
    </dataValidation>
    <dataValidation type="list" sqref="M7:M1200" xr:uid="{00000000-0002-0000-1000-000005000000}">
      <formula1>og_list_18</formula1>
    </dataValidation>
  </dataValidations>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67E8F9"/>
  </sheetPr>
  <dimension ref="A1:M12"/>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6" width="34.03125" customWidth="1"/>
    <col min="7" max="11" width="29.0546875" customWidth="1"/>
    <col min="12" max="12" width="48.0234375" customWidth="1"/>
    <col min="13" max="13" width="34.03125" customWidth="1"/>
  </cols>
  <sheetData>
    <row r="1" spans="1:13" ht="21.75" x14ac:dyDescent="0.25">
      <c r="A1" s="3" t="s">
        <v>5469</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1620</v>
      </c>
      <c r="B3" s="2"/>
      <c r="C3" s="2"/>
      <c r="D3" s="2"/>
      <c r="E3" s="2"/>
      <c r="F3" s="2"/>
      <c r="G3" s="2"/>
      <c r="H3" s="2"/>
      <c r="I3" s="2"/>
      <c r="J3" s="2"/>
      <c r="K3" s="2"/>
      <c r="L3" s="2"/>
      <c r="M3" s="2"/>
    </row>
    <row r="4" spans="1:13" ht="16.5" x14ac:dyDescent="0.2">
      <c r="A4" s="4" t="str">
        <f>HYPERLINK("#'Field Dictionary'!A180","🔧⚠️ - 1 - SHORT TEXT")</f>
        <v>🔧⚠️ - 1 - SHORT TEXT</v>
      </c>
      <c r="B4" s="4" t="str">
        <f>HYPERLINK("#'Field Dictionary'!A181","🔧⚠️ - 2 - LONG TEXT")</f>
        <v>🔧⚠️ - 2 - LONG TEXT</v>
      </c>
      <c r="C4" s="4" t="str">
        <f>HYPERLINK("#'Field Dictionary'!A182","🔧⚠️ - 3 - SHORT TEXT")</f>
        <v>🔧⚠️ - 3 - SHORT TEXT</v>
      </c>
      <c r="D4" s="4" t="str">
        <f>HYPERLINK("#'Field Dictionary'!A183","🔧⚠️ - 4 - LINKED RECORD")</f>
        <v>🔧⚠️ - 4 - LINKED RECORD</v>
      </c>
      <c r="E4" s="4" t="str">
        <f>HYPERLINK("#'Field Dictionary'!A184","🔧⚠️ - 5 - LINKED RECORD")</f>
        <v>🔧⚠️ - 5 - LINKED RECORD</v>
      </c>
      <c r="F4" s="4" t="str">
        <f>HYPERLINK("#'Field Dictionary'!A185","🔧⚠️ - 6 - LINKED RECORDS")</f>
        <v>🔧⚠️ - 6 - LINKED RECORDS</v>
      </c>
      <c r="G4" s="4" t="str">
        <f>HYPERLINK("#'Field Dictionary'!A186","🔧⚠️ - 7 - LINKED RECORD")</f>
        <v>🔧⚠️ - 7 - LINKED RECORD</v>
      </c>
      <c r="H4" s="4" t="str">
        <f>HYPERLINK("#'Field Dictionary'!A187","🔧⚠️ - 8 - SINGLE SELECT")</f>
        <v>🔧⚠️ - 8 - SINGLE SELECT</v>
      </c>
      <c r="I4" s="4" t="str">
        <f>HYPERLINK("#'Field Dictionary'!A188","🔧⚠️ - 9 - SINGLE SELECT")</f>
        <v>🔧⚠️ - 9 - SINGLE SELECT</v>
      </c>
      <c r="J4" s="4" t="str">
        <f>HYPERLINK("#'Field Dictionary'!A189","🔧⚠️ - 10 - SINGLE SELECT")</f>
        <v>🔧⚠️ - 10 - SINGLE SELECT</v>
      </c>
      <c r="K4" s="4" t="str">
        <f>HYPERLINK("#'Field Dictionary'!A190","🔧⚠️ - 11 - LINKED RECORD")</f>
        <v>🔧⚠️ - 11 - LINKED RECORD</v>
      </c>
      <c r="L4" s="4" t="str">
        <f>HYPERLINK("#'Field Dictionary'!A191","🔧⚠️ - 12 - LONG TEXT")</f>
        <v>🔧⚠️ - 12 - LONG TEXT</v>
      </c>
      <c r="M4" s="4" t="str">
        <f>HYPERLINK("#'Field Dictionary'!A192","🔧⚠️ - 13 - LINKED RECORDS")</f>
        <v>🔧⚠️ - 13 - LINKED RECORDS</v>
      </c>
    </row>
    <row r="5" spans="1:13" ht="38.1" customHeight="1" x14ac:dyDescent="0.2">
      <c r="A5" s="7" t="s">
        <v>100</v>
      </c>
      <c r="B5" s="7" t="s">
        <v>101</v>
      </c>
      <c r="C5" s="7" t="s">
        <v>102</v>
      </c>
      <c r="D5" s="7" t="s">
        <v>227</v>
      </c>
      <c r="E5" s="7" t="s">
        <v>5470</v>
      </c>
      <c r="F5" s="7" t="s">
        <v>5471</v>
      </c>
      <c r="G5" s="7" t="s">
        <v>5472</v>
      </c>
      <c r="H5" s="7" t="s">
        <v>5473</v>
      </c>
      <c r="I5" s="7" t="s">
        <v>5474</v>
      </c>
      <c r="J5" s="7" t="s">
        <v>5475</v>
      </c>
      <c r="K5" s="7" t="s">
        <v>5476</v>
      </c>
      <c r="L5" s="7" t="s">
        <v>5477</v>
      </c>
      <c r="M5" s="7" t="s">
        <v>5478</v>
      </c>
    </row>
    <row r="6" spans="1:13" ht="38.1" customHeight="1" x14ac:dyDescent="0.2">
      <c r="A6" s="7" t="s">
        <v>115</v>
      </c>
      <c r="B6" s="7" t="s">
        <v>116</v>
      </c>
      <c r="C6" s="7" t="s">
        <v>117</v>
      </c>
      <c r="D6" s="7" t="s">
        <v>236</v>
      </c>
      <c r="E6" s="7" t="s">
        <v>5479</v>
      </c>
      <c r="F6" s="7" t="s">
        <v>5480</v>
      </c>
      <c r="G6" s="7" t="s">
        <v>5481</v>
      </c>
      <c r="H6" s="7" t="s">
        <v>5482</v>
      </c>
      <c r="I6" s="7" t="s">
        <v>5483</v>
      </c>
      <c r="J6" s="7" t="s">
        <v>5484</v>
      </c>
      <c r="K6" s="7" t="s">
        <v>5485</v>
      </c>
      <c r="L6" s="7" t="s">
        <v>5486</v>
      </c>
      <c r="M6" s="7" t="s">
        <v>5487</v>
      </c>
    </row>
    <row r="7" spans="1:13" ht="50.1" customHeight="1" x14ac:dyDescent="0.2">
      <c r="A7" s="5" t="s">
        <v>5488</v>
      </c>
      <c r="B7" s="5" t="s">
        <v>5489</v>
      </c>
      <c r="C7" s="5" t="s">
        <v>5488</v>
      </c>
      <c r="D7" s="5" t="s">
        <v>142</v>
      </c>
      <c r="E7" s="5"/>
      <c r="F7" s="5" t="s">
        <v>5490</v>
      </c>
      <c r="G7" s="5" t="s">
        <v>193</v>
      </c>
      <c r="H7" s="5" t="s">
        <v>5491</v>
      </c>
      <c r="I7" s="5" t="s">
        <v>5492</v>
      </c>
      <c r="J7" s="5" t="s">
        <v>5493</v>
      </c>
      <c r="K7" s="5"/>
      <c r="L7" s="5" t="s">
        <v>5494</v>
      </c>
      <c r="M7" s="5"/>
    </row>
    <row r="8" spans="1:13" ht="50.1" customHeight="1" x14ac:dyDescent="0.2">
      <c r="A8" s="5" t="s">
        <v>5495</v>
      </c>
      <c r="B8" s="5" t="s">
        <v>5496</v>
      </c>
      <c r="C8" s="5" t="s">
        <v>5495</v>
      </c>
      <c r="D8" s="5" t="s">
        <v>142</v>
      </c>
      <c r="E8" s="5"/>
      <c r="F8" s="5" t="s">
        <v>5490</v>
      </c>
      <c r="G8" s="5" t="s">
        <v>193</v>
      </c>
      <c r="H8" s="5" t="s">
        <v>5491</v>
      </c>
      <c r="I8" s="5" t="s">
        <v>5492</v>
      </c>
      <c r="J8" s="5" t="s">
        <v>5493</v>
      </c>
      <c r="K8" s="5"/>
      <c r="L8" s="5" t="s">
        <v>5494</v>
      </c>
      <c r="M8" s="5"/>
    </row>
    <row r="9" spans="1:13" ht="50.1" customHeight="1" x14ac:dyDescent="0.2">
      <c r="A9" s="5" t="s">
        <v>5497</v>
      </c>
      <c r="B9" s="5" t="s">
        <v>5498</v>
      </c>
      <c r="C9" s="5" t="s">
        <v>5497</v>
      </c>
      <c r="D9" s="5" t="s">
        <v>142</v>
      </c>
      <c r="E9" s="5"/>
      <c r="F9" s="5" t="s">
        <v>5490</v>
      </c>
      <c r="G9" s="5" t="s">
        <v>193</v>
      </c>
      <c r="H9" s="5" t="s">
        <v>5491</v>
      </c>
      <c r="I9" s="5" t="s">
        <v>5492</v>
      </c>
      <c r="J9" s="5" t="s">
        <v>5493</v>
      </c>
      <c r="K9" s="5"/>
      <c r="L9" s="5" t="s">
        <v>5494</v>
      </c>
      <c r="M9" s="5"/>
    </row>
    <row r="10" spans="1:13" ht="50.1" customHeight="1" x14ac:dyDescent="0.2">
      <c r="A10" s="5" t="s">
        <v>5499</v>
      </c>
      <c r="B10" s="5" t="s">
        <v>5500</v>
      </c>
      <c r="C10" s="5" t="s">
        <v>5499</v>
      </c>
      <c r="D10" s="5" t="s">
        <v>142</v>
      </c>
      <c r="E10" s="5"/>
      <c r="F10" s="5" t="s">
        <v>5490</v>
      </c>
      <c r="G10" s="5" t="s">
        <v>193</v>
      </c>
      <c r="H10" s="5" t="s">
        <v>5491</v>
      </c>
      <c r="I10" s="5" t="s">
        <v>5492</v>
      </c>
      <c r="J10" s="5" t="s">
        <v>5493</v>
      </c>
      <c r="K10" s="5"/>
      <c r="L10" s="5" t="s">
        <v>5494</v>
      </c>
      <c r="M10" s="5"/>
    </row>
    <row r="11" spans="1:13" ht="50.1" customHeight="1" x14ac:dyDescent="0.2">
      <c r="A11" s="5" t="s">
        <v>5501</v>
      </c>
      <c r="B11" s="5" t="s">
        <v>5502</v>
      </c>
      <c r="C11" s="5" t="s">
        <v>5503</v>
      </c>
      <c r="D11" s="5" t="s">
        <v>150</v>
      </c>
      <c r="E11" s="5"/>
      <c r="F11" s="5" t="s">
        <v>5504</v>
      </c>
      <c r="G11" s="5" t="s">
        <v>221</v>
      </c>
      <c r="H11" s="5" t="s">
        <v>5491</v>
      </c>
      <c r="I11" s="5" t="s">
        <v>5492</v>
      </c>
      <c r="J11" s="5" t="s">
        <v>5493</v>
      </c>
      <c r="K11" s="5"/>
      <c r="L11" s="5" t="s">
        <v>5505</v>
      </c>
      <c r="M11" s="5"/>
    </row>
    <row r="12" spans="1:13" ht="57" customHeight="1" x14ac:dyDescent="0.2">
      <c r="A12" s="5" t="s">
        <v>5506</v>
      </c>
      <c r="B12" s="5" t="s">
        <v>5502</v>
      </c>
      <c r="C12" s="5" t="s">
        <v>5507</v>
      </c>
      <c r="D12" s="5" t="s">
        <v>150</v>
      </c>
      <c r="E12" s="5"/>
      <c r="F12" s="5" t="s">
        <v>5504</v>
      </c>
      <c r="G12" s="5" t="s">
        <v>221</v>
      </c>
      <c r="H12" s="5" t="s">
        <v>5491</v>
      </c>
      <c r="I12" s="5" t="s">
        <v>5492</v>
      </c>
      <c r="J12" s="5" t="s">
        <v>5493</v>
      </c>
      <c r="K12" s="5"/>
      <c r="L12" s="5" t="s">
        <v>5505</v>
      </c>
      <c r="M12" s="5"/>
    </row>
  </sheetData>
  <conditionalFormatting sqref="J7:J1200">
    <cfRule type="containsText" dxfId="5" priority="1" operator="containsText" text="BLOCK"/>
  </conditionalFormatting>
  <dataValidations count="7">
    <dataValidation type="list" sqref="D7:D1200" xr:uid="{00000000-0002-0000-1100-000000000000}">
      <formula1>og_list_9</formula1>
    </dataValidation>
    <dataValidation type="list" sqref="E7:E1200" xr:uid="{00000000-0002-0000-1100-000001000000}">
      <formula1>og_list_18</formula1>
    </dataValidation>
    <dataValidation type="list" sqref="G7:G1200" xr:uid="{00000000-0002-0000-1100-000002000000}">
      <formula1>og_list_10</formula1>
    </dataValidation>
    <dataValidation type="list" sqref="H7:H1200" xr:uid="{00000000-0002-0000-1100-000003000000}">
      <formula1>"DEFECT,OPEN DECISION,CHANGE REQUEST"</formula1>
    </dataValidation>
    <dataValidation type="list" sqref="I7:I1200" xr:uid="{00000000-0002-0000-1100-000004000000}">
      <formula1>"BLOCKING,NONBLOCKING"</formula1>
    </dataValidation>
    <dataValidation type="list" sqref="J7:J1200" xr:uid="{00000000-0002-0000-1100-000005000000}">
      <formula1>"OPEN,IN REPAIR,READY FOR RECHECK,RESOLVED,DEFERRED"</formula1>
    </dataValidation>
    <dataValidation type="list" sqref="K7:K1200" xr:uid="{00000000-0002-0000-1100-000006000000}">
      <formula1>og_list_3</formula1>
    </dataValidation>
  </dataValidations>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67E8F9"/>
  </sheetPr>
  <dimension ref="A1:L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7" width="29.0546875" customWidth="1"/>
    <col min="8" max="8" width="48.0234375" customWidth="1"/>
    <col min="9" max="10" width="34.03125" customWidth="1"/>
    <col min="11" max="12" width="29.0546875" customWidth="1"/>
  </cols>
  <sheetData>
    <row r="1" spans="1:12" ht="21.75" x14ac:dyDescent="0.25">
      <c r="A1" s="3" t="s">
        <v>5508</v>
      </c>
      <c r="B1" s="2"/>
      <c r="C1" s="2"/>
      <c r="D1" s="2"/>
      <c r="E1" s="2"/>
      <c r="F1" s="2"/>
      <c r="G1" s="2"/>
      <c r="H1" s="2"/>
      <c r="I1" s="2"/>
      <c r="J1" s="2"/>
      <c r="K1" s="2"/>
      <c r="L1" s="2"/>
    </row>
    <row r="2" spans="1:12" x14ac:dyDescent="0.2">
      <c r="A2" s="2" t="str">
        <f>HYPERLINK("#'Home'!A1","Home")</f>
        <v>Home</v>
      </c>
      <c r="B2" s="2" t="str">
        <f>HYPERLINK("#'Reader'!A1","Read a record")</f>
        <v>Read a record</v>
      </c>
      <c r="C2" s="2"/>
      <c r="D2" s="2"/>
      <c r="E2" s="2"/>
      <c r="F2" s="2"/>
      <c r="G2" s="2"/>
      <c r="H2" s="2"/>
      <c r="I2" s="2"/>
      <c r="J2" s="2"/>
      <c r="K2" s="2"/>
      <c r="L2" s="2"/>
    </row>
    <row r="3" spans="1:12" ht="45.95" customHeight="1" x14ac:dyDescent="0.2">
      <c r="A3" s="2" t="s">
        <v>1707</v>
      </c>
      <c r="B3" s="2"/>
      <c r="C3" s="2"/>
      <c r="D3" s="2"/>
      <c r="E3" s="2"/>
      <c r="F3" s="2"/>
      <c r="G3" s="2"/>
      <c r="H3" s="2"/>
      <c r="I3" s="2"/>
      <c r="J3" s="2"/>
      <c r="K3" s="2"/>
      <c r="L3" s="2"/>
    </row>
    <row r="4" spans="1:12" ht="16.5" x14ac:dyDescent="0.2">
      <c r="A4" s="4" t="str">
        <f>HYPERLINK("#'Field Dictionary'!A193","👤✅ - 1 - SHORT TEXT")</f>
        <v>👤✅ - 1 - SHORT TEXT</v>
      </c>
      <c r="B4" s="4" t="str">
        <f>HYPERLINK("#'Field Dictionary'!A194","👤✅ - 2 - LONG TEXT")</f>
        <v>👤✅ - 2 - LONG TEXT</v>
      </c>
      <c r="C4" s="4" t="str">
        <f>HYPERLINK("#'Field Dictionary'!A195","👤✅ - 3 - SHORT TEXT")</f>
        <v>👤✅ - 3 - SHORT TEXT</v>
      </c>
      <c r="D4" s="4" t="str">
        <f>HYPERLINK("#'Field Dictionary'!A196","👤✅ - 4 - LINKED RECORD")</f>
        <v>👤✅ - 4 - LINKED RECORD</v>
      </c>
      <c r="E4" s="4" t="str">
        <f>HYPERLINK("#'Field Dictionary'!A197","👤✅ - 5 - LINKED RECORD")</f>
        <v>👤✅ - 5 - LINKED RECORD</v>
      </c>
      <c r="F4" s="4" t="str">
        <f>HYPERLINK("#'Field Dictionary'!A198","👤✅ - 6 - SINGLE SELECT")</f>
        <v>👤✅ - 6 - SINGLE SELECT</v>
      </c>
      <c r="G4" s="4" t="str">
        <f>HYPERLINK("#'Field Dictionary'!A199","👤✅ - 7 - SHORT TEXT")</f>
        <v>👤✅ - 7 - SHORT TEXT</v>
      </c>
      <c r="H4" s="4" t="str">
        <f>HYPERLINK("#'Field Dictionary'!A200","👤✅ - 8 - LONG TEXT")</f>
        <v>👤✅ - 8 - LONG TEXT</v>
      </c>
      <c r="I4" s="4" t="str">
        <f>HYPERLINK("#'Field Dictionary'!A201","👤✅ - 9 - LINKED RECORDS")</f>
        <v>👤✅ - 9 - LINKED RECORDS</v>
      </c>
      <c r="J4" s="4" t="str">
        <f>HYPERLINK("#'Field Dictionary'!A202","👤✅ - 10 - LINKED RECORDS")</f>
        <v>👤✅ - 10 - LINKED RECORDS</v>
      </c>
      <c r="K4" s="4" t="str">
        <f>HYPERLINK("#'Field Dictionary'!A203","👤✅ - 11 - LINKED RECORD")</f>
        <v>👤✅ - 11 - LINKED RECORD</v>
      </c>
      <c r="L4" s="4" t="str">
        <f>HYPERLINK("#'Field Dictionary'!A204","👤✅ - 12 - SINGLE SELECT")</f>
        <v>👤✅ - 12 - SINGLE SELECT</v>
      </c>
    </row>
    <row r="5" spans="1:12" ht="38.1" customHeight="1" x14ac:dyDescent="0.2">
      <c r="A5" s="7" t="s">
        <v>100</v>
      </c>
      <c r="B5" s="7" t="s">
        <v>101</v>
      </c>
      <c r="C5" s="7" t="s">
        <v>102</v>
      </c>
      <c r="D5" s="7" t="s">
        <v>5290</v>
      </c>
      <c r="E5" s="7" t="s">
        <v>5509</v>
      </c>
      <c r="F5" s="7" t="s">
        <v>5510</v>
      </c>
      <c r="G5" s="7" t="s">
        <v>5511</v>
      </c>
      <c r="H5" s="7" t="s">
        <v>5512</v>
      </c>
      <c r="I5" s="7" t="s">
        <v>5513</v>
      </c>
      <c r="J5" s="7" t="s">
        <v>5514</v>
      </c>
      <c r="K5" s="7" t="s">
        <v>5515</v>
      </c>
      <c r="L5" s="7" t="s">
        <v>3092</v>
      </c>
    </row>
    <row r="6" spans="1:12" ht="38.1" customHeight="1" x14ac:dyDescent="0.2">
      <c r="A6" s="7" t="s">
        <v>115</v>
      </c>
      <c r="B6" s="7" t="s">
        <v>116</v>
      </c>
      <c r="C6" s="7" t="s">
        <v>117</v>
      </c>
      <c r="D6" s="7" t="s">
        <v>5300</v>
      </c>
      <c r="E6" s="7" t="s">
        <v>5516</v>
      </c>
      <c r="F6" s="7" t="s">
        <v>5517</v>
      </c>
      <c r="G6" s="7" t="s">
        <v>5518</v>
      </c>
      <c r="H6" s="7" t="s">
        <v>5519</v>
      </c>
      <c r="I6" s="7" t="s">
        <v>5520</v>
      </c>
      <c r="J6" s="7" t="s">
        <v>5521</v>
      </c>
      <c r="K6" s="7" t="s">
        <v>5522</v>
      </c>
      <c r="L6" s="7" t="s">
        <v>3102</v>
      </c>
    </row>
    <row r="7" spans="1:12" ht="78" customHeight="1" x14ac:dyDescent="0.2">
      <c r="A7" s="5"/>
      <c r="B7" s="5"/>
      <c r="C7" s="5"/>
      <c r="D7" s="5"/>
      <c r="E7" s="5"/>
      <c r="F7" s="5"/>
      <c r="G7" s="5"/>
      <c r="H7" s="5"/>
      <c r="I7" s="5"/>
      <c r="J7" s="5"/>
      <c r="K7" s="5"/>
      <c r="L7" s="5"/>
    </row>
    <row r="8" spans="1:12" ht="78" customHeight="1" x14ac:dyDescent="0.2">
      <c r="A8" s="5"/>
      <c r="B8" s="5"/>
      <c r="C8" s="5"/>
      <c r="D8" s="5"/>
      <c r="E8" s="5"/>
      <c r="F8" s="5"/>
      <c r="G8" s="5"/>
      <c r="H8" s="5"/>
      <c r="I8" s="5"/>
      <c r="J8" s="5"/>
      <c r="K8" s="5"/>
      <c r="L8" s="5"/>
    </row>
    <row r="9" spans="1:12" ht="78" customHeight="1" x14ac:dyDescent="0.2">
      <c r="A9" s="5"/>
      <c r="B9" s="5"/>
      <c r="C9" s="5"/>
      <c r="D9" s="5"/>
      <c r="E9" s="5"/>
      <c r="F9" s="5"/>
      <c r="G9" s="5"/>
      <c r="H9" s="5"/>
      <c r="I9" s="5"/>
      <c r="J9" s="5"/>
      <c r="K9" s="5"/>
      <c r="L9" s="5"/>
    </row>
  </sheetData>
  <dataValidations count="5">
    <dataValidation type="list" sqref="D7:D1200" xr:uid="{00000000-0002-0000-1200-000000000000}">
      <formula1>og_list_8</formula1>
    </dataValidation>
    <dataValidation type="list" sqref="E7:E1200" xr:uid="{00000000-0002-0000-1200-000001000000}">
      <formula1>og_list_3</formula1>
    </dataValidation>
    <dataValidation type="list" sqref="F7:F1200" xr:uid="{00000000-0002-0000-1200-000002000000}">
      <formula1>"APPROVE,REVISE,ROLLBACK"</formula1>
    </dataValidation>
    <dataValidation type="list" sqref="K7:K1200" xr:uid="{00000000-0002-0000-1200-000003000000}">
      <formula1>og_list_20</formula1>
    </dataValidation>
    <dataValidation type="list" sqref="L7:L1200" xr:uid="{00000000-0002-0000-1200-000004000000}">
      <formula1>"CONTEMPORANEOUS,RECONSTRUCTED"</formula1>
    </dataValidation>
  </dataValidations>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67E8F9"/>
  </sheetPr>
  <dimension ref="A1:S10"/>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7" width="34.03125" customWidth="1"/>
    <col min="8" max="8" width="29.0546875" customWidth="1"/>
    <col min="9" max="10" width="34.03125" customWidth="1"/>
    <col min="11" max="11" width="48.0234375" customWidth="1"/>
    <col min="12" max="12" width="29.0546875" customWidth="1"/>
    <col min="14" max="19" width="23" customWidth="1"/>
  </cols>
  <sheetData>
    <row r="1" spans="1:19" ht="21.75" x14ac:dyDescent="0.25">
      <c r="A1" s="3" t="s">
        <v>5523</v>
      </c>
      <c r="B1" s="2"/>
      <c r="C1" s="2"/>
      <c r="D1" s="2"/>
      <c r="E1" s="2"/>
      <c r="F1" s="2"/>
      <c r="G1" s="2"/>
      <c r="H1" s="2"/>
      <c r="I1" s="2"/>
      <c r="J1" s="2"/>
      <c r="K1" s="2"/>
      <c r="L1" s="2"/>
    </row>
    <row r="2" spans="1:19" x14ac:dyDescent="0.2">
      <c r="A2" s="2" t="str">
        <f>HYPERLINK("#'Home'!A1","Home")</f>
        <v>Home</v>
      </c>
      <c r="B2" s="2" t="str">
        <f>HYPERLINK("#'Reader'!A1","Read a record")</f>
        <v>Read a record</v>
      </c>
      <c r="C2" s="2"/>
      <c r="D2" s="2"/>
      <c r="E2" s="2"/>
      <c r="F2" s="2"/>
      <c r="G2" s="2"/>
      <c r="H2" s="2"/>
      <c r="I2" s="2"/>
      <c r="J2" s="2"/>
      <c r="K2" s="2"/>
      <c r="L2" s="2"/>
    </row>
    <row r="3" spans="1:19" ht="45.95" customHeight="1" x14ac:dyDescent="0.2">
      <c r="A3" s="2" t="s">
        <v>1790</v>
      </c>
      <c r="B3" s="2"/>
      <c r="C3" s="2"/>
      <c r="D3" s="2"/>
      <c r="E3" s="2"/>
      <c r="F3" s="2"/>
      <c r="G3" s="2"/>
      <c r="H3" s="2"/>
      <c r="I3" s="2"/>
      <c r="J3" s="2"/>
      <c r="K3" s="2"/>
      <c r="L3" s="2"/>
    </row>
    <row r="4" spans="1:19" ht="16.5" x14ac:dyDescent="0.2">
      <c r="A4" s="4" t="str">
        <f>HYPERLINK("#'Field Dictionary'!A205","📦🏁 - 1 - SHORT TEXT")</f>
        <v>📦🏁 - 1 - SHORT TEXT</v>
      </c>
      <c r="B4" s="4" t="str">
        <f>HYPERLINK("#'Field Dictionary'!A206","📦🏁 - 2 - LONG TEXT")</f>
        <v>📦🏁 - 2 - LONG TEXT</v>
      </c>
      <c r="C4" s="4" t="str">
        <f>HYPERLINK("#'Field Dictionary'!A207","📦🏁 - 3 - SHORT TEXT")</f>
        <v>📦🏁 - 3 - SHORT TEXT</v>
      </c>
      <c r="D4" s="4" t="str">
        <f>HYPERLINK("#'Field Dictionary'!A208","📦🏁 - 4 - LINKED RECORD")</f>
        <v>📦🏁 - 4 - LINKED RECORD</v>
      </c>
      <c r="E4" s="4" t="str">
        <f>HYPERLINK("#'Field Dictionary'!A209","📦🏁 - 5 - SINGLE SELECT")</f>
        <v>📦🏁 - 5 - SINGLE SELECT</v>
      </c>
      <c r="F4" s="4" t="str">
        <f>HYPERLINK("#'Field Dictionary'!A210","📦🏁 - 6 - LINKED RECORD")</f>
        <v>📦🏁 - 6 - LINKED RECORD</v>
      </c>
      <c r="G4" s="4" t="str">
        <f>HYPERLINK("#'Field Dictionary'!A211","📦🏁 - 7 - LINKED RECORDS")</f>
        <v>📦🏁 - 7 - LINKED RECORDS</v>
      </c>
      <c r="H4" s="4" t="str">
        <f>HYPERLINK("#'Field Dictionary'!A212","📦🏁 - 8 - LINKED RECORD")</f>
        <v>📦🏁 - 8 - LINKED RECORD</v>
      </c>
      <c r="I4" s="4" t="str">
        <f>HYPERLINK("#'Field Dictionary'!A213","📦🏁 - 9 - LINKED RECORDS")</f>
        <v>📦🏁 - 9 - LINKED RECORDS</v>
      </c>
      <c r="J4" s="4" t="str">
        <f>HYPERLINK("#'Field Dictionary'!A214","📦🏁 - 10 - LINKED RECORDS")</f>
        <v>📦🏁 - 10 - LINKED RECORDS</v>
      </c>
      <c r="K4" s="4" t="str">
        <f>HYPERLINK("#'Field Dictionary'!A215","📦🏁 - 11 - LONG TEXT")</f>
        <v>📦🏁 - 11 - LONG TEXT</v>
      </c>
      <c r="L4" s="4" t="str">
        <f>HYPERLINK("#'Field Dictionary'!A216","📦🏁 - 12 - DERIVED")</f>
        <v>📦🏁 - 12 - DERIVED</v>
      </c>
    </row>
    <row r="5" spans="1:19" ht="38.1" customHeight="1" x14ac:dyDescent="0.2">
      <c r="A5" s="7" t="s">
        <v>100</v>
      </c>
      <c r="B5" s="7" t="s">
        <v>101</v>
      </c>
      <c r="C5" s="7" t="s">
        <v>102</v>
      </c>
      <c r="D5" s="7" t="s">
        <v>158</v>
      </c>
      <c r="E5" s="7" t="s">
        <v>5524</v>
      </c>
      <c r="F5" s="7" t="s">
        <v>5525</v>
      </c>
      <c r="G5" s="7" t="s">
        <v>5526</v>
      </c>
      <c r="H5" s="7" t="s">
        <v>5527</v>
      </c>
      <c r="I5" s="7" t="s">
        <v>5528</v>
      </c>
      <c r="J5" s="7" t="s">
        <v>5529</v>
      </c>
      <c r="K5" s="7" t="s">
        <v>5530</v>
      </c>
      <c r="L5" s="7" t="s">
        <v>5531</v>
      </c>
    </row>
    <row r="6" spans="1:19" ht="42" customHeight="1" x14ac:dyDescent="0.2">
      <c r="A6" s="7" t="s">
        <v>115</v>
      </c>
      <c r="B6" s="7" t="s">
        <v>116</v>
      </c>
      <c r="C6" s="7" t="s">
        <v>117</v>
      </c>
      <c r="D6" s="7" t="s">
        <v>167</v>
      </c>
      <c r="E6" s="7" t="s">
        <v>5532</v>
      </c>
      <c r="F6" s="7" t="s">
        <v>5533</v>
      </c>
      <c r="G6" s="7" t="s">
        <v>5534</v>
      </c>
      <c r="H6" s="7" t="s">
        <v>5535</v>
      </c>
      <c r="I6" s="7" t="s">
        <v>5536</v>
      </c>
      <c r="J6" s="7" t="s">
        <v>5537</v>
      </c>
      <c r="K6" s="7" t="s">
        <v>5538</v>
      </c>
      <c r="L6" s="7" t="s">
        <v>5539</v>
      </c>
      <c r="N6" s="10" t="s">
        <v>5540</v>
      </c>
      <c r="O6" s="10" t="s">
        <v>5541</v>
      </c>
      <c r="P6" s="10" t="s">
        <v>5542</v>
      </c>
      <c r="Q6" s="10" t="s">
        <v>5543</v>
      </c>
      <c r="R6" s="10" t="s">
        <v>5544</v>
      </c>
      <c r="S6" s="10" t="s">
        <v>5545</v>
      </c>
    </row>
    <row r="7" spans="1:19" ht="42" customHeight="1" x14ac:dyDescent="0.2">
      <c r="A7" s="5" t="s">
        <v>3831</v>
      </c>
      <c r="B7" s="5" t="s">
        <v>3832</v>
      </c>
      <c r="C7" s="5" t="s">
        <v>146</v>
      </c>
      <c r="D7" s="5" t="s">
        <v>3833</v>
      </c>
      <c r="E7" s="5" t="s">
        <v>885</v>
      </c>
      <c r="F7" s="5" t="s">
        <v>145</v>
      </c>
      <c r="G7" s="5" t="s">
        <v>5546</v>
      </c>
      <c r="H7" s="5"/>
      <c r="I7" s="5" t="s">
        <v>5547</v>
      </c>
      <c r="J7" s="5" t="s">
        <v>5548</v>
      </c>
      <c r="K7" s="5" t="s">
        <v>5549</v>
      </c>
      <c r="L7" s="5" t="str">
        <f>IF(C7="","",IF(AND(COUNTIFS('File Revisions'!$C$7:$C$1200,F7)=1,N7&gt;0,N7=O7,P7&gt;0,P7=Q7,R7=0,S7=0),"READY","NOT READY"))</f>
        <v>NOT READY</v>
      </c>
      <c r="N7" s="10">
        <f>IF(C7="","",(LEN(G7)-LEN(SUBSTITUTE(G7,CHAR(34),"")))/2)</f>
        <v>9</v>
      </c>
      <c r="O7" s="10">
        <f>IF(C7="","",COUNTIFS('Release Gate'!D2:D33,1))</f>
        <v>9</v>
      </c>
      <c r="P7" s="10">
        <f>IF(C7="","",(LEN(I7)-LEN(SUBSTITUTE(I7,CHAR(34),"")))/2)</f>
        <v>0</v>
      </c>
      <c r="Q7" s="10">
        <f>IF(C7="","",COUNTIFS('Release Gate'!G2:G33,1,'Release Gate'!H2:H33,1))</f>
        <v>0</v>
      </c>
      <c r="R7" s="10">
        <f>IF(C7="","",COUNTIFS(Issues!$D$7:$D$1200,INDEX('Record Revisions'!$F$7:$F$1200,MATCH(D7,'Record Revisions'!$C$7:$C$1200,0)),Issues!$I$7:$I$1200,"BLOCKING",Issues!$J$7:$J$1200,"&lt;&gt;RESOLVED"))</f>
        <v>0</v>
      </c>
      <c r="S7" s="10">
        <f>IF(C7="","",SUM('Release Gate'!E2:E33))</f>
        <v>0</v>
      </c>
    </row>
    <row r="8" spans="1:19" ht="42" customHeight="1" x14ac:dyDescent="0.2">
      <c r="A8" s="5" t="s">
        <v>4395</v>
      </c>
      <c r="B8" s="5" t="s">
        <v>5550</v>
      </c>
      <c r="C8" s="5" t="s">
        <v>155</v>
      </c>
      <c r="D8" s="5" t="s">
        <v>4396</v>
      </c>
      <c r="E8" s="5" t="s">
        <v>885</v>
      </c>
      <c r="F8" s="5" t="s">
        <v>154</v>
      </c>
      <c r="G8" s="5" t="s">
        <v>5551</v>
      </c>
      <c r="H8" s="5"/>
      <c r="I8" s="5" t="s">
        <v>5552</v>
      </c>
      <c r="J8" s="5" t="s">
        <v>5553</v>
      </c>
      <c r="K8" s="5" t="s">
        <v>5554</v>
      </c>
      <c r="L8" s="5" t="str">
        <f>IF(C8="","",IF(AND(COUNTIFS('File Revisions'!$C$7:$C$1200,F8)=1,N8&gt;0,N8=O8,P8&gt;0,P8=Q8,R8=0,S8=0),"READY","NOT READY"))</f>
        <v>READY</v>
      </c>
      <c r="N8" s="10">
        <f>IF(C8="","",(LEN(G8)-LEN(SUBSTITUTE(G8,CHAR(34),"")))/2)</f>
        <v>8</v>
      </c>
      <c r="O8" s="10">
        <f>IF(C8="","",COUNTIFS('Release Gate'!D34:D65,1))</f>
        <v>8</v>
      </c>
      <c r="P8" s="10">
        <f>IF(C8="","",(LEN(I8)-LEN(SUBSTITUTE(I8,CHAR(34),"")))/2)</f>
        <v>4</v>
      </c>
      <c r="Q8" s="10">
        <f>IF(C8="","",COUNTIFS('Release Gate'!G34:G65,1,'Release Gate'!H34:H65,1))</f>
        <v>4</v>
      </c>
      <c r="R8" s="10">
        <f>IF(C8="","",COUNTIFS(Issues!$D$7:$D$1200,INDEX('Record Revisions'!$F$7:$F$1200,MATCH(D8,'Record Revisions'!$C$7:$C$1200,0)),Issues!$I$7:$I$1200,"BLOCKING",Issues!$J$7:$J$1200,"&lt;&gt;RESOLVED"))</f>
        <v>0</v>
      </c>
      <c r="S8" s="10">
        <f>IF(C8="","",SUM('Release Gate'!E34:E65))</f>
        <v>0</v>
      </c>
    </row>
    <row r="9" spans="1:19" ht="42" customHeight="1" x14ac:dyDescent="0.2">
      <c r="A9" s="5"/>
      <c r="B9" s="5"/>
      <c r="C9" s="5"/>
      <c r="D9" s="5"/>
      <c r="E9" s="5"/>
      <c r="F9" s="5"/>
      <c r="G9" s="5"/>
      <c r="H9" s="5"/>
      <c r="I9" s="5"/>
      <c r="J9" s="5"/>
      <c r="K9" s="5"/>
      <c r="L9" s="5" t="str">
        <f>IF(C9="","",IF(AND(COUNTIFS('File Revisions'!$C$7:$C$1200,F9)=1,N9&gt;0,N9=O9,P9&gt;0,P9=Q9,R9=0,S9=0),"READY","NOT READY"))</f>
        <v/>
      </c>
      <c r="N9" s="10" t="str">
        <f>IF(C9="","",(LEN(G9)-LEN(SUBSTITUTE(G9,CHAR(34),"")))/2)</f>
        <v/>
      </c>
      <c r="O9" s="10" t="str">
        <f>IF(C9="","",COUNTIFS('Release Gate'!D66:D97,1))</f>
        <v/>
      </c>
      <c r="P9" s="10" t="str">
        <f>IF(C9="","",(LEN(I9)-LEN(SUBSTITUTE(I9,CHAR(34),"")))/2)</f>
        <v/>
      </c>
      <c r="Q9" s="10" t="str">
        <f>IF(C9="","",COUNTIFS('Release Gate'!G66:G97,1,'Release Gate'!H66:H97,1))</f>
        <v/>
      </c>
      <c r="R9" s="10" t="str">
        <f>IF(C9="","",COUNTIFS(Issues!$D$7:$D$1200,INDEX('Record Revisions'!$F$7:$F$1200,MATCH(D9,'Record Revisions'!$C$7:$C$1200,0)),Issues!$I$7:$I$1200,"BLOCKING",Issues!$J$7:$J$1200,"&lt;&gt;RESOLVED"))</f>
        <v/>
      </c>
      <c r="S9" s="10" t="str">
        <f>IF(C9="","",SUM('Release Gate'!E66:E97))</f>
        <v/>
      </c>
    </row>
    <row r="10" spans="1:19" ht="42" customHeight="1" x14ac:dyDescent="0.2">
      <c r="N10" s="10"/>
      <c r="O10" s="10"/>
      <c r="P10" s="10"/>
      <c r="Q10" s="10"/>
      <c r="R10" s="10"/>
      <c r="S10" s="10"/>
    </row>
  </sheetData>
  <dataValidations count="3">
    <dataValidation type="list" sqref="D7:D1200" xr:uid="{00000000-0002-0000-1300-000000000000}">
      <formula1>og_list_8</formula1>
    </dataValidation>
    <dataValidation type="list" sqref="E7:E1200" xr:uid="{00000000-0002-0000-1300-000001000000}">
      <formula1>"TEMPLATE,WORKED EXAMPLE,DOCUMENT"</formula1>
    </dataValidation>
    <dataValidation type="list" sqref="F7:F1200 H7:H1200" xr:uid="{00000000-0002-0000-1300-000002000000}">
      <formula1>og_list_4</formula1>
    </dataValidation>
  </dataValidations>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67E8F9"/>
  </sheetPr>
  <dimension ref="A1:L3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6" width="18.0234375" customWidth="1"/>
    <col min="7" max="11" width="48.0234375" customWidth="1"/>
    <col min="12" max="12" width="34.03125" customWidth="1"/>
  </cols>
  <sheetData>
    <row r="1" spans="1:12" ht="21.75" x14ac:dyDescent="0.25">
      <c r="A1" s="3" t="s">
        <v>5555</v>
      </c>
      <c r="B1" s="2"/>
      <c r="C1" s="2"/>
      <c r="D1" s="2"/>
      <c r="E1" s="2"/>
      <c r="F1" s="2"/>
      <c r="G1" s="2"/>
      <c r="H1" s="2"/>
      <c r="I1" s="2"/>
      <c r="J1" s="2"/>
      <c r="K1" s="2"/>
      <c r="L1" s="2"/>
    </row>
    <row r="2" spans="1:12" x14ac:dyDescent="0.2">
      <c r="A2" s="2" t="str">
        <f>HYPERLINK("#'Home'!A1","Home")</f>
        <v>Home</v>
      </c>
      <c r="B2" s="2" t="str">
        <f>HYPERLINK("#'Reader'!A1","Read a record")</f>
        <v>Read a record</v>
      </c>
      <c r="C2" s="2"/>
      <c r="D2" s="2"/>
      <c r="E2" s="2"/>
      <c r="F2" s="2"/>
      <c r="G2" s="2"/>
      <c r="H2" s="2"/>
      <c r="I2" s="2"/>
      <c r="J2" s="2"/>
      <c r="K2" s="2"/>
      <c r="L2" s="2"/>
    </row>
    <row r="3" spans="1:12" ht="45.95" customHeight="1" x14ac:dyDescent="0.2">
      <c r="A3" s="2" t="s">
        <v>1868</v>
      </c>
      <c r="B3" s="2"/>
      <c r="C3" s="2"/>
      <c r="D3" s="2"/>
      <c r="E3" s="2"/>
      <c r="F3" s="2"/>
      <c r="G3" s="2"/>
      <c r="H3" s="2"/>
      <c r="I3" s="2"/>
      <c r="J3" s="2"/>
      <c r="K3" s="2"/>
      <c r="L3" s="2"/>
    </row>
    <row r="4" spans="1:12" ht="16.5" x14ac:dyDescent="0.2">
      <c r="A4" s="4" t="str">
        <f>HYPERLINK("#'Field Dictionary'!A217","🗂️📖 - 1 - SHORT TEXT")</f>
        <v>🗂️📖 - 1 - SHORT TEXT</v>
      </c>
      <c r="B4" s="4" t="str">
        <f>HYPERLINK("#'Field Dictionary'!A218","🗂️📖 - 2 - LONG TEXT")</f>
        <v>🗂️📖 - 2 - LONG TEXT</v>
      </c>
      <c r="C4" s="4" t="str">
        <f>HYPERLINK("#'Field Dictionary'!A219","🗂️📖 - 3 - SHORT TEXT")</f>
        <v>🗂️📖 - 3 - SHORT TEXT</v>
      </c>
      <c r="D4" s="4" t="str">
        <f>HYPERLINK("#'Field Dictionary'!A220","🗂️📖 - 4 - SHORT TEXT")</f>
        <v>🗂️📖 - 4 - SHORT TEXT</v>
      </c>
      <c r="E4" s="4" t="str">
        <f>HYPERLINK("#'Field Dictionary'!A221","🗂️📖 - 5 - SHORT TEXT")</f>
        <v>🗂️📖 - 5 - SHORT TEXT</v>
      </c>
      <c r="F4" s="4" t="str">
        <f>HYPERLINK("#'Field Dictionary'!A222","🗂️📖 - 6 - INTEGER")</f>
        <v>🗂️📖 - 6 - INTEGER</v>
      </c>
      <c r="G4" s="4" t="str">
        <f>HYPERLINK("#'Field Dictionary'!A223","🗂️📖 - 7 - LONG TEXT")</f>
        <v>🗂️📖 - 7 - LONG TEXT</v>
      </c>
      <c r="H4" s="4" t="str">
        <f>HYPERLINK("#'Field Dictionary'!A224","🗂️📖 - 8 - LONG TEXT")</f>
        <v>🗂️📖 - 8 - LONG TEXT</v>
      </c>
      <c r="I4" s="4" t="str">
        <f>HYPERLINK("#'Field Dictionary'!A225","🗂️📖 - 9 - LONG TEXT")</f>
        <v>🗂️📖 - 9 - LONG TEXT</v>
      </c>
      <c r="J4" s="4" t="str">
        <f>HYPERLINK("#'Field Dictionary'!A226","🗂️📖 - 10 - LONG TEXT")</f>
        <v>🗂️📖 - 10 - LONG TEXT</v>
      </c>
      <c r="K4" s="4" t="str">
        <f>HYPERLINK("#'Field Dictionary'!A227","🗂️📖 - 11 - LONG TEXT")</f>
        <v>🗂️📖 - 11 - LONG TEXT</v>
      </c>
      <c r="L4" s="4" t="str">
        <f>HYPERLINK("#'Field Dictionary'!A228","🗂️📖 - 12 - LINKED RECORDS")</f>
        <v>🗂️📖 - 12 - LINKED RECORDS</v>
      </c>
    </row>
    <row r="5" spans="1:12" ht="38.1" customHeight="1" x14ac:dyDescent="0.2">
      <c r="A5" s="7" t="s">
        <v>100</v>
      </c>
      <c r="B5" s="7" t="s">
        <v>101</v>
      </c>
      <c r="C5" s="7" t="s">
        <v>102</v>
      </c>
      <c r="D5" s="7" t="s">
        <v>5556</v>
      </c>
      <c r="E5" s="7" t="s">
        <v>5557</v>
      </c>
      <c r="F5" s="7" t="s">
        <v>5558</v>
      </c>
      <c r="G5" s="7" t="s">
        <v>5559</v>
      </c>
      <c r="H5" s="7" t="s">
        <v>5560</v>
      </c>
      <c r="I5" s="7" t="s">
        <v>5561</v>
      </c>
      <c r="J5" s="7" t="s">
        <v>5562</v>
      </c>
      <c r="K5" s="7" t="s">
        <v>5563</v>
      </c>
      <c r="L5" s="7" t="s">
        <v>166</v>
      </c>
    </row>
    <row r="6" spans="1:12" ht="38.1" customHeight="1" x14ac:dyDescent="0.2">
      <c r="A6" s="7" t="s">
        <v>115</v>
      </c>
      <c r="B6" s="7" t="s">
        <v>116</v>
      </c>
      <c r="C6" s="7" t="s">
        <v>117</v>
      </c>
      <c r="D6" s="7" t="s">
        <v>5564</v>
      </c>
      <c r="E6" s="7" t="s">
        <v>5565</v>
      </c>
      <c r="F6" s="7" t="s">
        <v>5566</v>
      </c>
      <c r="G6" s="7" t="s">
        <v>5567</v>
      </c>
      <c r="H6" s="7" t="s">
        <v>5568</v>
      </c>
      <c r="I6" s="7" t="s">
        <v>5569</v>
      </c>
      <c r="J6" s="7" t="s">
        <v>5570</v>
      </c>
      <c r="K6" s="7" t="s">
        <v>5571</v>
      </c>
      <c r="L6" s="7" t="s">
        <v>175</v>
      </c>
    </row>
    <row r="7" spans="1:12" ht="117" customHeight="1" x14ac:dyDescent="0.2">
      <c r="A7" s="5" t="s">
        <v>5572</v>
      </c>
      <c r="B7" s="5" t="s">
        <v>99</v>
      </c>
      <c r="C7" s="5" t="s">
        <v>348</v>
      </c>
      <c r="D7" s="5" t="s">
        <v>5</v>
      </c>
      <c r="E7" s="5" t="s">
        <v>5573</v>
      </c>
      <c r="F7" s="8">
        <v>1</v>
      </c>
      <c r="G7" s="5" t="s">
        <v>99</v>
      </c>
      <c r="H7" s="5" t="s">
        <v>5574</v>
      </c>
      <c r="I7" s="5" t="s">
        <v>5575</v>
      </c>
      <c r="J7" s="5" t="s">
        <v>5576</v>
      </c>
      <c r="K7" s="5" t="s">
        <v>5577</v>
      </c>
      <c r="L7" s="5" t="s">
        <v>5578</v>
      </c>
    </row>
    <row r="8" spans="1:12" ht="50.1" customHeight="1" x14ac:dyDescent="0.2">
      <c r="A8" s="5" t="s">
        <v>5579</v>
      </c>
      <c r="B8" s="5" t="s">
        <v>157</v>
      </c>
      <c r="C8" s="5" t="s">
        <v>482</v>
      </c>
      <c r="D8" s="5" t="s">
        <v>7</v>
      </c>
      <c r="E8" s="5" t="s">
        <v>5580</v>
      </c>
      <c r="F8" s="8">
        <v>2</v>
      </c>
      <c r="G8" s="5" t="s">
        <v>157</v>
      </c>
      <c r="H8" s="5" t="s">
        <v>5574</v>
      </c>
      <c r="I8" s="5" t="s">
        <v>5581</v>
      </c>
      <c r="J8" s="5" t="s">
        <v>5582</v>
      </c>
      <c r="K8" s="5" t="s">
        <v>5583</v>
      </c>
      <c r="L8" s="5" t="s">
        <v>184</v>
      </c>
    </row>
    <row r="9" spans="1:12" ht="72" customHeight="1" x14ac:dyDescent="0.2">
      <c r="A9" s="5" t="s">
        <v>5584</v>
      </c>
      <c r="B9" s="5" t="s">
        <v>226</v>
      </c>
      <c r="C9" s="5" t="s">
        <v>577</v>
      </c>
      <c r="D9" s="5" t="s">
        <v>8</v>
      </c>
      <c r="E9" s="5" t="s">
        <v>5585</v>
      </c>
      <c r="F9" s="8">
        <v>3</v>
      </c>
      <c r="G9" s="5" t="s">
        <v>226</v>
      </c>
      <c r="H9" s="5" t="s">
        <v>5574</v>
      </c>
      <c r="I9" s="5" t="s">
        <v>5575</v>
      </c>
      <c r="J9" s="5" t="s">
        <v>5586</v>
      </c>
      <c r="K9" s="5" t="s">
        <v>5577</v>
      </c>
      <c r="L9" s="5" t="s">
        <v>5587</v>
      </c>
    </row>
    <row r="10" spans="1:12" ht="57" customHeight="1" x14ac:dyDescent="0.2">
      <c r="A10" s="5" t="s">
        <v>51</v>
      </c>
      <c r="B10" s="5" t="s">
        <v>325</v>
      </c>
      <c r="C10" s="5" t="s">
        <v>668</v>
      </c>
      <c r="D10" s="5" t="s">
        <v>9</v>
      </c>
      <c r="E10" s="5" t="s">
        <v>5588</v>
      </c>
      <c r="F10" s="8">
        <v>4</v>
      </c>
      <c r="G10" s="5" t="s">
        <v>325</v>
      </c>
      <c r="H10" s="5" t="s">
        <v>5574</v>
      </c>
      <c r="I10" s="5" t="s">
        <v>5581</v>
      </c>
      <c r="J10" s="5" t="s">
        <v>5589</v>
      </c>
      <c r="K10" s="5" t="s">
        <v>5583</v>
      </c>
      <c r="L10" s="5" t="s">
        <v>5590</v>
      </c>
    </row>
    <row r="11" spans="1:12" ht="72" customHeight="1" x14ac:dyDescent="0.2">
      <c r="A11" s="5" t="s">
        <v>1017</v>
      </c>
      <c r="B11" s="5" t="s">
        <v>764</v>
      </c>
      <c r="C11" s="5" t="s">
        <v>767</v>
      </c>
      <c r="D11" s="5" t="s">
        <v>10</v>
      </c>
      <c r="E11" s="5" t="s">
        <v>5591</v>
      </c>
      <c r="F11" s="8">
        <v>5</v>
      </c>
      <c r="G11" s="5" t="s">
        <v>764</v>
      </c>
      <c r="H11" s="5" t="s">
        <v>5574</v>
      </c>
      <c r="I11" s="5" t="s">
        <v>5575</v>
      </c>
      <c r="J11" s="5" t="s">
        <v>5592</v>
      </c>
      <c r="K11" s="5" t="s">
        <v>5577</v>
      </c>
      <c r="L11" s="5" t="s">
        <v>5593</v>
      </c>
    </row>
    <row r="12" spans="1:12" ht="50.1" customHeight="1" x14ac:dyDescent="0.2">
      <c r="A12" s="5" t="s">
        <v>5594</v>
      </c>
      <c r="B12" s="5" t="s">
        <v>853</v>
      </c>
      <c r="C12" s="5" t="s">
        <v>856</v>
      </c>
      <c r="D12" s="5" t="s">
        <v>11</v>
      </c>
      <c r="E12" s="5" t="s">
        <v>5595</v>
      </c>
      <c r="F12" s="8">
        <v>6</v>
      </c>
      <c r="G12" s="5" t="s">
        <v>853</v>
      </c>
      <c r="H12" s="5" t="s">
        <v>5574</v>
      </c>
      <c r="I12" s="5" t="s">
        <v>5581</v>
      </c>
      <c r="J12" s="5" t="s">
        <v>5596</v>
      </c>
      <c r="K12" s="5" t="s">
        <v>5577</v>
      </c>
      <c r="L12" s="5" t="s">
        <v>5597</v>
      </c>
    </row>
    <row r="13" spans="1:12" ht="50.1" customHeight="1" x14ac:dyDescent="0.2">
      <c r="A13" s="5" t="s">
        <v>5598</v>
      </c>
      <c r="B13" s="5" t="s">
        <v>932</v>
      </c>
      <c r="C13" s="5" t="s">
        <v>935</v>
      </c>
      <c r="D13" s="5" t="s">
        <v>12</v>
      </c>
      <c r="E13" s="5" t="s">
        <v>5599</v>
      </c>
      <c r="F13" s="8">
        <v>7</v>
      </c>
      <c r="G13" s="5" t="s">
        <v>932</v>
      </c>
      <c r="H13" s="5" t="s">
        <v>5574</v>
      </c>
      <c r="I13" s="5" t="s">
        <v>5581</v>
      </c>
      <c r="J13" s="5" t="s">
        <v>5600</v>
      </c>
      <c r="K13" s="5" t="s">
        <v>5577</v>
      </c>
      <c r="L13" s="5" t="s">
        <v>5601</v>
      </c>
    </row>
    <row r="14" spans="1:12" ht="50.1" customHeight="1" x14ac:dyDescent="0.2">
      <c r="A14" s="5" t="s">
        <v>201</v>
      </c>
      <c r="B14" s="5" t="s">
        <v>1013</v>
      </c>
      <c r="C14" s="5" t="s">
        <v>1016</v>
      </c>
      <c r="D14" s="5" t="s">
        <v>13</v>
      </c>
      <c r="E14" s="5" t="s">
        <v>5602</v>
      </c>
      <c r="F14" s="8">
        <v>8</v>
      </c>
      <c r="G14" s="5" t="s">
        <v>1013</v>
      </c>
      <c r="H14" s="5" t="s">
        <v>5574</v>
      </c>
      <c r="I14" s="5" t="s">
        <v>5581</v>
      </c>
      <c r="J14" s="5" t="s">
        <v>5603</v>
      </c>
      <c r="K14" s="5" t="s">
        <v>5577</v>
      </c>
      <c r="L14" s="5" t="s">
        <v>5604</v>
      </c>
    </row>
    <row r="15" spans="1:12" ht="50.1" customHeight="1" x14ac:dyDescent="0.2">
      <c r="A15" s="5" t="s">
        <v>206</v>
      </c>
      <c r="B15" s="5" t="s">
        <v>1094</v>
      </c>
      <c r="C15" s="5" t="s">
        <v>1097</v>
      </c>
      <c r="D15" s="5" t="s">
        <v>14</v>
      </c>
      <c r="E15" s="5" t="s">
        <v>5605</v>
      </c>
      <c r="F15" s="8">
        <v>9</v>
      </c>
      <c r="G15" s="5" t="s">
        <v>1094</v>
      </c>
      <c r="H15" s="5" t="s">
        <v>5574</v>
      </c>
      <c r="I15" s="5" t="s">
        <v>5581</v>
      </c>
      <c r="J15" s="5" t="s">
        <v>5603</v>
      </c>
      <c r="K15" s="5" t="s">
        <v>5577</v>
      </c>
      <c r="L15" s="5" t="s">
        <v>5606</v>
      </c>
    </row>
    <row r="16" spans="1:12" ht="50.1" customHeight="1" x14ac:dyDescent="0.2">
      <c r="A16" s="5" t="s">
        <v>5607</v>
      </c>
      <c r="B16" s="5" t="s">
        <v>1174</v>
      </c>
      <c r="C16" s="5" t="s">
        <v>1177</v>
      </c>
      <c r="D16" s="5" t="s">
        <v>15</v>
      </c>
      <c r="E16" s="5" t="s">
        <v>5608</v>
      </c>
      <c r="F16" s="8">
        <v>10</v>
      </c>
      <c r="G16" s="5" t="s">
        <v>1174</v>
      </c>
      <c r="H16" s="5" t="s">
        <v>5574</v>
      </c>
      <c r="I16" s="5" t="s">
        <v>5581</v>
      </c>
      <c r="J16" s="5" t="s">
        <v>5603</v>
      </c>
      <c r="K16" s="5" t="s">
        <v>5577</v>
      </c>
      <c r="L16" s="5" t="s">
        <v>5609</v>
      </c>
    </row>
    <row r="17" spans="1:12" ht="102" customHeight="1" x14ac:dyDescent="0.2">
      <c r="A17" s="5" t="s">
        <v>40</v>
      </c>
      <c r="B17" s="5" t="s">
        <v>1269</v>
      </c>
      <c r="C17" s="5" t="s">
        <v>1272</v>
      </c>
      <c r="D17" s="5" t="s">
        <v>16</v>
      </c>
      <c r="E17" s="5" t="s">
        <v>5610</v>
      </c>
      <c r="F17" s="8">
        <v>11</v>
      </c>
      <c r="G17" s="5" t="s">
        <v>1269</v>
      </c>
      <c r="H17" s="5" t="s">
        <v>5574</v>
      </c>
      <c r="I17" s="5" t="s">
        <v>5581</v>
      </c>
      <c r="J17" s="5" t="s">
        <v>5611</v>
      </c>
      <c r="K17" s="5" t="s">
        <v>5577</v>
      </c>
      <c r="L17" s="5" t="s">
        <v>5612</v>
      </c>
    </row>
    <row r="18" spans="1:12" ht="102" customHeight="1" x14ac:dyDescent="0.2">
      <c r="A18" s="5" t="s">
        <v>5613</v>
      </c>
      <c r="B18" s="5" t="s">
        <v>1347</v>
      </c>
      <c r="C18" s="5" t="s">
        <v>1350</v>
      </c>
      <c r="D18" s="5" t="s">
        <v>17</v>
      </c>
      <c r="E18" s="5" t="s">
        <v>5614</v>
      </c>
      <c r="F18" s="8">
        <v>12</v>
      </c>
      <c r="G18" s="5" t="s">
        <v>1347</v>
      </c>
      <c r="H18" s="5" t="s">
        <v>5574</v>
      </c>
      <c r="I18" s="5" t="s">
        <v>5581</v>
      </c>
      <c r="J18" s="5" t="s">
        <v>5615</v>
      </c>
      <c r="K18" s="5" t="s">
        <v>5577</v>
      </c>
      <c r="L18" s="5" t="s">
        <v>5616</v>
      </c>
    </row>
    <row r="19" spans="1:12" ht="72" customHeight="1" x14ac:dyDescent="0.2">
      <c r="A19" s="5" t="s">
        <v>5617</v>
      </c>
      <c r="B19" s="5" t="s">
        <v>1456</v>
      </c>
      <c r="C19" s="5" t="s">
        <v>1459</v>
      </c>
      <c r="D19" s="5" t="s">
        <v>18</v>
      </c>
      <c r="E19" s="5" t="s">
        <v>5618</v>
      </c>
      <c r="F19" s="8">
        <v>13</v>
      </c>
      <c r="G19" s="5" t="s">
        <v>1456</v>
      </c>
      <c r="H19" s="5" t="s">
        <v>5574</v>
      </c>
      <c r="I19" s="5" t="s">
        <v>5575</v>
      </c>
      <c r="J19" s="5" t="s">
        <v>5619</v>
      </c>
      <c r="K19" s="5" t="s">
        <v>5577</v>
      </c>
      <c r="L19" s="5" t="s">
        <v>5620</v>
      </c>
    </row>
    <row r="20" spans="1:12" ht="87" customHeight="1" x14ac:dyDescent="0.2">
      <c r="A20" s="5" t="s">
        <v>5621</v>
      </c>
      <c r="B20" s="5" t="s">
        <v>1532</v>
      </c>
      <c r="C20" s="5" t="s">
        <v>1535</v>
      </c>
      <c r="D20" s="5" t="s">
        <v>19</v>
      </c>
      <c r="E20" s="5" t="s">
        <v>5622</v>
      </c>
      <c r="F20" s="8">
        <v>14</v>
      </c>
      <c r="G20" s="5" t="s">
        <v>1532</v>
      </c>
      <c r="H20" s="5" t="s">
        <v>5574</v>
      </c>
      <c r="I20" s="5" t="s">
        <v>5575</v>
      </c>
      <c r="J20" s="5" t="s">
        <v>5623</v>
      </c>
      <c r="K20" s="5" t="s">
        <v>5577</v>
      </c>
      <c r="L20" s="5" t="s">
        <v>5624</v>
      </c>
    </row>
    <row r="21" spans="1:12" ht="102" customHeight="1" x14ac:dyDescent="0.2">
      <c r="A21" s="5" t="s">
        <v>5625</v>
      </c>
      <c r="B21" s="5" t="s">
        <v>1620</v>
      </c>
      <c r="C21" s="5" t="s">
        <v>1623</v>
      </c>
      <c r="D21" s="5" t="s">
        <v>20</v>
      </c>
      <c r="E21" s="5" t="s">
        <v>5626</v>
      </c>
      <c r="F21" s="8">
        <v>15</v>
      </c>
      <c r="G21" s="5" t="s">
        <v>1620</v>
      </c>
      <c r="H21" s="5" t="s">
        <v>5574</v>
      </c>
      <c r="I21" s="5" t="s">
        <v>5575</v>
      </c>
      <c r="J21" s="5" t="s">
        <v>5627</v>
      </c>
      <c r="K21" s="5" t="s">
        <v>5577</v>
      </c>
      <c r="L21" s="5" t="s">
        <v>5628</v>
      </c>
    </row>
    <row r="22" spans="1:12" ht="87" customHeight="1" x14ac:dyDescent="0.2">
      <c r="A22" s="5" t="s">
        <v>5629</v>
      </c>
      <c r="B22" s="5" t="s">
        <v>1707</v>
      </c>
      <c r="C22" s="5" t="s">
        <v>1710</v>
      </c>
      <c r="D22" s="5" t="s">
        <v>21</v>
      </c>
      <c r="E22" s="5" t="s">
        <v>5630</v>
      </c>
      <c r="F22" s="8">
        <v>16</v>
      </c>
      <c r="G22" s="5" t="s">
        <v>1707</v>
      </c>
      <c r="H22" s="5" t="s">
        <v>5574</v>
      </c>
      <c r="I22" s="5" t="s">
        <v>5575</v>
      </c>
      <c r="J22" s="5" t="s">
        <v>5631</v>
      </c>
      <c r="K22" s="5" t="s">
        <v>5577</v>
      </c>
      <c r="L22" s="5" t="s">
        <v>5632</v>
      </c>
    </row>
    <row r="23" spans="1:12" ht="102" customHeight="1" x14ac:dyDescent="0.2">
      <c r="A23" s="5" t="s">
        <v>5633</v>
      </c>
      <c r="B23" s="5" t="s">
        <v>1790</v>
      </c>
      <c r="C23" s="5" t="s">
        <v>1793</v>
      </c>
      <c r="D23" s="5" t="s">
        <v>22</v>
      </c>
      <c r="E23" s="5" t="s">
        <v>5634</v>
      </c>
      <c r="F23" s="8">
        <v>17</v>
      </c>
      <c r="G23" s="5" t="s">
        <v>1790</v>
      </c>
      <c r="H23" s="5" t="s">
        <v>5574</v>
      </c>
      <c r="I23" s="5" t="s">
        <v>5581</v>
      </c>
      <c r="J23" s="5" t="s">
        <v>5635</v>
      </c>
      <c r="K23" s="5" t="s">
        <v>5577</v>
      </c>
      <c r="L23" s="5" t="s">
        <v>5636</v>
      </c>
    </row>
    <row r="24" spans="1:12" ht="50.1" customHeight="1" x14ac:dyDescent="0.2">
      <c r="A24" s="5" t="s">
        <v>5637</v>
      </c>
      <c r="B24" s="5" t="s">
        <v>1868</v>
      </c>
      <c r="C24" s="5" t="s">
        <v>1871</v>
      </c>
      <c r="D24" s="5" t="s">
        <v>23</v>
      </c>
      <c r="E24" s="5" t="s">
        <v>5638</v>
      </c>
      <c r="F24" s="8">
        <v>18</v>
      </c>
      <c r="G24" s="5" t="s">
        <v>1868</v>
      </c>
      <c r="H24" s="5" t="s">
        <v>5574</v>
      </c>
      <c r="I24" s="5" t="s">
        <v>5575</v>
      </c>
      <c r="J24" s="5" t="s">
        <v>5639</v>
      </c>
      <c r="K24" s="5" t="s">
        <v>5583</v>
      </c>
      <c r="L24" s="5" t="s">
        <v>5640</v>
      </c>
    </row>
    <row r="25" spans="1:12" ht="57" customHeight="1" x14ac:dyDescent="0.2">
      <c r="A25" s="5" t="s">
        <v>5641</v>
      </c>
      <c r="B25" s="5" t="s">
        <v>1956</v>
      </c>
      <c r="C25" s="5" t="s">
        <v>1959</v>
      </c>
      <c r="D25" s="5" t="s">
        <v>24</v>
      </c>
      <c r="E25" s="5" t="s">
        <v>5642</v>
      </c>
      <c r="F25" s="8">
        <v>19</v>
      </c>
      <c r="G25" s="5" t="s">
        <v>1956</v>
      </c>
      <c r="H25" s="5" t="s">
        <v>5574</v>
      </c>
      <c r="I25" s="5" t="s">
        <v>5575</v>
      </c>
      <c r="J25" s="5" t="s">
        <v>5643</v>
      </c>
      <c r="K25" s="5" t="s">
        <v>5583</v>
      </c>
      <c r="L25" s="5" t="s">
        <v>5644</v>
      </c>
    </row>
    <row r="26" spans="1:12" ht="50.1" customHeight="1" x14ac:dyDescent="0.2">
      <c r="A26" s="5" t="s">
        <v>5645</v>
      </c>
      <c r="B26" s="5" t="s">
        <v>2064</v>
      </c>
      <c r="C26" s="5" t="s">
        <v>2067</v>
      </c>
      <c r="D26" s="5" t="s">
        <v>25</v>
      </c>
      <c r="E26" s="5" t="s">
        <v>5646</v>
      </c>
      <c r="F26" s="8">
        <v>20</v>
      </c>
      <c r="G26" s="5" t="s">
        <v>2064</v>
      </c>
      <c r="H26" s="5" t="s">
        <v>5574</v>
      </c>
      <c r="I26" s="5" t="s">
        <v>5575</v>
      </c>
      <c r="J26" s="5" t="s">
        <v>5647</v>
      </c>
      <c r="K26" s="5" t="s">
        <v>5577</v>
      </c>
      <c r="L26" s="5" t="s">
        <v>5648</v>
      </c>
    </row>
    <row r="27" spans="1:12" ht="50.1" customHeight="1" x14ac:dyDescent="0.2">
      <c r="A27" s="5" t="s">
        <v>5649</v>
      </c>
      <c r="B27" s="5" t="s">
        <v>2130</v>
      </c>
      <c r="C27" s="5" t="s">
        <v>2133</v>
      </c>
      <c r="D27" s="5" t="s">
        <v>26</v>
      </c>
      <c r="E27" s="5" t="s">
        <v>5650</v>
      </c>
      <c r="F27" s="8">
        <v>21</v>
      </c>
      <c r="G27" s="5" t="s">
        <v>2130</v>
      </c>
      <c r="H27" s="5" t="s">
        <v>5574</v>
      </c>
      <c r="I27" s="5" t="s">
        <v>5575</v>
      </c>
      <c r="J27" s="5" t="s">
        <v>5651</v>
      </c>
      <c r="K27" s="5" t="s">
        <v>5577</v>
      </c>
      <c r="L27" s="5" t="s">
        <v>5652</v>
      </c>
    </row>
    <row r="28" spans="1:12" ht="50.1" customHeight="1" x14ac:dyDescent="0.2">
      <c r="A28" s="5" t="s">
        <v>5653</v>
      </c>
      <c r="B28" s="5" t="s">
        <v>2177</v>
      </c>
      <c r="C28" s="5" t="s">
        <v>2180</v>
      </c>
      <c r="D28" s="5" t="s">
        <v>27</v>
      </c>
      <c r="E28" s="5" t="s">
        <v>5654</v>
      </c>
      <c r="F28" s="8">
        <v>22</v>
      </c>
      <c r="G28" s="5" t="s">
        <v>2177</v>
      </c>
      <c r="H28" s="5" t="s">
        <v>5574</v>
      </c>
      <c r="I28" s="5" t="s">
        <v>5575</v>
      </c>
      <c r="J28" s="5" t="s">
        <v>5655</v>
      </c>
      <c r="K28" s="5" t="s">
        <v>5577</v>
      </c>
      <c r="L28" s="5" t="s">
        <v>5656</v>
      </c>
    </row>
    <row r="29" spans="1:12" ht="57" customHeight="1" x14ac:dyDescent="0.2">
      <c r="A29" s="5" t="s">
        <v>5657</v>
      </c>
      <c r="B29" s="5" t="s">
        <v>2241</v>
      </c>
      <c r="C29" s="5" t="s">
        <v>2244</v>
      </c>
      <c r="D29" s="5" t="s">
        <v>28</v>
      </c>
      <c r="E29" s="5" t="s">
        <v>5658</v>
      </c>
      <c r="F29" s="8">
        <v>23</v>
      </c>
      <c r="G29" s="5" t="s">
        <v>2241</v>
      </c>
      <c r="H29" s="5" t="s">
        <v>5574</v>
      </c>
      <c r="I29" s="5" t="s">
        <v>5575</v>
      </c>
      <c r="J29" s="5" t="s">
        <v>5659</v>
      </c>
      <c r="K29" s="5" t="s">
        <v>5577</v>
      </c>
      <c r="L29" s="5" t="s">
        <v>5660</v>
      </c>
    </row>
    <row r="30" spans="1:12" ht="57" customHeight="1" x14ac:dyDescent="0.2">
      <c r="A30" s="5" t="s">
        <v>5661</v>
      </c>
      <c r="B30" s="5" t="s">
        <v>2301</v>
      </c>
      <c r="C30" s="5" t="s">
        <v>2304</v>
      </c>
      <c r="D30" s="5" t="s">
        <v>29</v>
      </c>
      <c r="E30" s="5" t="s">
        <v>5662</v>
      </c>
      <c r="F30" s="8">
        <v>24</v>
      </c>
      <c r="G30" s="5" t="s">
        <v>2301</v>
      </c>
      <c r="H30" s="5" t="s">
        <v>5574</v>
      </c>
      <c r="I30" s="5" t="s">
        <v>5575</v>
      </c>
      <c r="J30" s="5" t="s">
        <v>5663</v>
      </c>
      <c r="K30" s="5" t="s">
        <v>5577</v>
      </c>
      <c r="L30" s="5" t="s">
        <v>5664</v>
      </c>
    </row>
    <row r="31" spans="1:12" ht="102" customHeight="1" x14ac:dyDescent="0.2">
      <c r="A31" s="5" t="s">
        <v>5665</v>
      </c>
      <c r="B31" s="5" t="s">
        <v>2371</v>
      </c>
      <c r="C31" s="5" t="s">
        <v>2374</v>
      </c>
      <c r="D31" s="5" t="s">
        <v>30</v>
      </c>
      <c r="E31" s="5" t="s">
        <v>5666</v>
      </c>
      <c r="F31" s="8">
        <v>25</v>
      </c>
      <c r="G31" s="5" t="s">
        <v>2371</v>
      </c>
      <c r="H31" s="5" t="s">
        <v>5574</v>
      </c>
      <c r="I31" s="5" t="s">
        <v>5581</v>
      </c>
      <c r="J31" s="5" t="s">
        <v>5667</v>
      </c>
      <c r="K31" s="5" t="s">
        <v>5577</v>
      </c>
      <c r="L31" s="5" t="s">
        <v>5668</v>
      </c>
    </row>
    <row r="32" spans="1:12" ht="57" customHeight="1" x14ac:dyDescent="0.2">
      <c r="A32" s="5" t="s">
        <v>5669</v>
      </c>
      <c r="B32" s="5" t="s">
        <v>2430</v>
      </c>
      <c r="C32" s="5" t="s">
        <v>2433</v>
      </c>
      <c r="D32" s="5" t="s">
        <v>31</v>
      </c>
      <c r="E32" s="5" t="s">
        <v>5670</v>
      </c>
      <c r="F32" s="8">
        <v>26</v>
      </c>
      <c r="G32" s="5" t="s">
        <v>2430</v>
      </c>
      <c r="H32" s="5" t="s">
        <v>5574</v>
      </c>
      <c r="I32" s="5" t="s">
        <v>5581</v>
      </c>
      <c r="J32" s="5" t="s">
        <v>5671</v>
      </c>
      <c r="K32" s="5" t="s">
        <v>5577</v>
      </c>
      <c r="L32" s="5" t="s">
        <v>5672</v>
      </c>
    </row>
    <row r="33" spans="1:12" ht="50.1" customHeight="1" x14ac:dyDescent="0.2">
      <c r="A33" s="5" t="s">
        <v>5673</v>
      </c>
      <c r="B33" s="5" t="s">
        <v>2498</v>
      </c>
      <c r="C33" s="5" t="s">
        <v>2501</v>
      </c>
      <c r="D33" s="5" t="s">
        <v>32</v>
      </c>
      <c r="E33" s="5" t="s">
        <v>5674</v>
      </c>
      <c r="F33" s="8">
        <v>27</v>
      </c>
      <c r="G33" s="5" t="s">
        <v>2498</v>
      </c>
      <c r="H33" s="5" t="s">
        <v>5574</v>
      </c>
      <c r="I33" s="5" t="s">
        <v>5581</v>
      </c>
      <c r="J33" s="5" t="s">
        <v>5675</v>
      </c>
      <c r="K33" s="5" t="s">
        <v>5577</v>
      </c>
      <c r="L33" s="5" t="s">
        <v>5676</v>
      </c>
    </row>
    <row r="34" spans="1:12" ht="50.1" customHeight="1" x14ac:dyDescent="0.2">
      <c r="A34" s="5" t="s">
        <v>5677</v>
      </c>
      <c r="B34" s="5" t="s">
        <v>2590</v>
      </c>
      <c r="C34" s="5" t="s">
        <v>2593</v>
      </c>
      <c r="D34" s="5" t="s">
        <v>33</v>
      </c>
      <c r="E34" s="5" t="s">
        <v>5678</v>
      </c>
      <c r="F34" s="8">
        <v>28</v>
      </c>
      <c r="G34" s="5" t="s">
        <v>2590</v>
      </c>
      <c r="H34" s="5" t="s">
        <v>5574</v>
      </c>
      <c r="I34" s="5" t="s">
        <v>5581</v>
      </c>
      <c r="J34" s="5" t="s">
        <v>5679</v>
      </c>
      <c r="K34" s="5" t="s">
        <v>5577</v>
      </c>
      <c r="L34" s="5" t="s">
        <v>5680</v>
      </c>
    </row>
    <row r="35" spans="1:12" ht="50.1" customHeight="1" x14ac:dyDescent="0.2">
      <c r="A35" s="5" t="s">
        <v>5681</v>
      </c>
      <c r="B35" s="5" t="s">
        <v>2639</v>
      </c>
      <c r="C35" s="5" t="s">
        <v>2642</v>
      </c>
      <c r="D35" s="5" t="s">
        <v>34</v>
      </c>
      <c r="E35" s="5" t="s">
        <v>5682</v>
      </c>
      <c r="F35" s="8">
        <v>29</v>
      </c>
      <c r="G35" s="5" t="s">
        <v>2639</v>
      </c>
      <c r="H35" s="5" t="s">
        <v>5574</v>
      </c>
      <c r="I35" s="5" t="s">
        <v>5581</v>
      </c>
      <c r="J35" s="5" t="s">
        <v>5683</v>
      </c>
      <c r="K35" s="5" t="s">
        <v>5577</v>
      </c>
      <c r="L35" s="5" t="s">
        <v>5684</v>
      </c>
    </row>
    <row r="36" spans="1:12" ht="50.1" customHeight="1" x14ac:dyDescent="0.2">
      <c r="A36" s="5" t="s">
        <v>5685</v>
      </c>
      <c r="B36" s="5" t="s">
        <v>2716</v>
      </c>
      <c r="C36" s="5" t="s">
        <v>2719</v>
      </c>
      <c r="D36" s="5" t="s">
        <v>35</v>
      </c>
      <c r="E36" s="5" t="s">
        <v>5686</v>
      </c>
      <c r="F36" s="8">
        <v>30</v>
      </c>
      <c r="G36" s="5" t="s">
        <v>2716</v>
      </c>
      <c r="H36" s="5" t="s">
        <v>5574</v>
      </c>
      <c r="I36" s="5" t="s">
        <v>5581</v>
      </c>
      <c r="J36" s="5" t="s">
        <v>5603</v>
      </c>
      <c r="K36" s="5" t="s">
        <v>5577</v>
      </c>
      <c r="L36" s="5" t="s">
        <v>5687</v>
      </c>
    </row>
    <row r="37" spans="1:12" ht="57" customHeight="1" x14ac:dyDescent="0.2">
      <c r="A37" s="5" t="s">
        <v>5688</v>
      </c>
      <c r="B37" s="5" t="s">
        <v>2788</v>
      </c>
      <c r="C37" s="5" t="s">
        <v>2791</v>
      </c>
      <c r="D37" s="5" t="s">
        <v>36</v>
      </c>
      <c r="E37" s="5" t="s">
        <v>5689</v>
      </c>
      <c r="F37" s="8">
        <v>31</v>
      </c>
      <c r="G37" s="5" t="s">
        <v>2788</v>
      </c>
      <c r="H37" s="5" t="s">
        <v>5574</v>
      </c>
      <c r="I37" s="5" t="s">
        <v>5581</v>
      </c>
      <c r="J37" s="5" t="s">
        <v>5690</v>
      </c>
      <c r="K37" s="5" t="s">
        <v>5577</v>
      </c>
      <c r="L37" s="5" t="s">
        <v>5691</v>
      </c>
    </row>
    <row r="38" spans="1:12" ht="117" customHeight="1" x14ac:dyDescent="0.2">
      <c r="A38" s="5" t="s">
        <v>5692</v>
      </c>
      <c r="B38" s="5" t="s">
        <v>2894</v>
      </c>
      <c r="C38" s="5" t="s">
        <v>2897</v>
      </c>
      <c r="D38" s="5" t="s">
        <v>37</v>
      </c>
      <c r="E38" s="5" t="s">
        <v>5693</v>
      </c>
      <c r="F38" s="8">
        <v>32</v>
      </c>
      <c r="G38" s="5" t="s">
        <v>2894</v>
      </c>
      <c r="H38" s="5" t="s">
        <v>5574</v>
      </c>
      <c r="I38" s="5" t="s">
        <v>5581</v>
      </c>
      <c r="J38" s="5" t="s">
        <v>5694</v>
      </c>
      <c r="K38" s="5" t="s">
        <v>5577</v>
      </c>
      <c r="L38" s="5" t="s">
        <v>5695</v>
      </c>
    </row>
    <row r="39" spans="1:12" ht="57" customHeight="1" x14ac:dyDescent="0.2">
      <c r="A39" s="5" t="s">
        <v>5696</v>
      </c>
      <c r="B39" s="5" t="s">
        <v>2983</v>
      </c>
      <c r="C39" s="5" t="s">
        <v>2986</v>
      </c>
      <c r="D39" s="5" t="s">
        <v>38</v>
      </c>
      <c r="E39" s="5" t="s">
        <v>5697</v>
      </c>
      <c r="F39" s="8">
        <v>33</v>
      </c>
      <c r="G39" s="5" t="s">
        <v>2983</v>
      </c>
      <c r="H39" s="5" t="s">
        <v>5574</v>
      </c>
      <c r="I39" s="5" t="s">
        <v>5575</v>
      </c>
      <c r="J39" s="5" t="s">
        <v>5698</v>
      </c>
      <c r="K39" s="5" t="s">
        <v>5577</v>
      </c>
      <c r="L39" s="5" t="s">
        <v>5699</v>
      </c>
    </row>
  </sheetData>
  <dataValidations count="1">
    <dataValidation type="whole" sqref="F7:F1200" xr:uid="{00000000-0002-0000-1400-000000000000}">
      <formula1>0</formula1>
      <formula2>1000000</formula2>
    </dataValidation>
  </dataValidations>
  <pageMargins left="0.7" right="0.7" top="0.75" bottom="0.75" header="0.3" footer="0.3"/>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67E8F9"/>
  </sheetPr>
  <dimension ref="A1:P388"/>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4" width="29.0546875" customWidth="1"/>
    <col min="5" max="5" width="18.0234375" customWidth="1"/>
    <col min="6" max="7" width="29.0546875" customWidth="1"/>
    <col min="8" max="9" width="48.0234375" customWidth="1"/>
    <col min="10" max="10" width="29.0546875" customWidth="1"/>
    <col min="11" max="12" width="18.0234375" customWidth="1"/>
    <col min="13" max="14" width="48.0234375" customWidth="1"/>
    <col min="15" max="15" width="34.03125" customWidth="1"/>
    <col min="16" max="16" width="48.0234375" customWidth="1"/>
  </cols>
  <sheetData>
    <row r="1" spans="1:16" ht="21.75" x14ac:dyDescent="0.25">
      <c r="A1" s="3" t="s">
        <v>5700</v>
      </c>
      <c r="B1" s="2"/>
      <c r="C1" s="2"/>
      <c r="D1" s="2"/>
      <c r="E1" s="2"/>
      <c r="F1" s="2"/>
      <c r="G1" s="2"/>
      <c r="H1" s="2"/>
      <c r="I1" s="2"/>
      <c r="J1" s="2"/>
      <c r="K1" s="2"/>
      <c r="L1" s="2"/>
      <c r="M1" s="2"/>
      <c r="N1" s="2"/>
      <c r="O1" s="2"/>
      <c r="P1" s="2"/>
    </row>
    <row r="2" spans="1:16" x14ac:dyDescent="0.2">
      <c r="A2" s="2" t="str">
        <f>HYPERLINK("#'Home'!A1","Home")</f>
        <v>Home</v>
      </c>
      <c r="B2" s="2" t="str">
        <f>HYPERLINK("#'Reader'!A1","Read a record")</f>
        <v>Read a record</v>
      </c>
      <c r="C2" s="2"/>
      <c r="D2" s="2"/>
      <c r="E2" s="2"/>
      <c r="F2" s="2"/>
      <c r="G2" s="2"/>
      <c r="H2" s="2"/>
      <c r="I2" s="2"/>
      <c r="J2" s="2"/>
      <c r="K2" s="2"/>
      <c r="L2" s="2"/>
      <c r="M2" s="2"/>
      <c r="N2" s="2"/>
      <c r="O2" s="2"/>
      <c r="P2" s="2"/>
    </row>
    <row r="3" spans="1:16" ht="45.95" customHeight="1" x14ac:dyDescent="0.2">
      <c r="A3" s="2" t="s">
        <v>1956</v>
      </c>
      <c r="B3" s="2"/>
      <c r="C3" s="2"/>
      <c r="D3" s="2"/>
      <c r="E3" s="2"/>
      <c r="F3" s="2"/>
      <c r="G3" s="2"/>
      <c r="H3" s="2"/>
      <c r="I3" s="2"/>
      <c r="J3" s="2"/>
      <c r="K3" s="2"/>
      <c r="L3" s="2"/>
      <c r="M3" s="2"/>
      <c r="N3" s="2"/>
      <c r="O3" s="2"/>
      <c r="P3" s="2"/>
    </row>
    <row r="4" spans="1:16" ht="28.5" x14ac:dyDescent="0.2">
      <c r="A4" s="4" t="str">
        <f>HYPERLINK("#'Field Dictionary'!A229","🔢📖 - 1 - SHORT TEXT")</f>
        <v>🔢📖 - 1 - SHORT TEXT</v>
      </c>
      <c r="B4" s="4" t="str">
        <f>HYPERLINK("#'Field Dictionary'!A230","🔢📖 - 2 - LONG TEXT")</f>
        <v>🔢📖 - 2 - LONG TEXT</v>
      </c>
      <c r="C4" s="4" t="str">
        <f>HYPERLINK("#'Field Dictionary'!A231","🔢📖 - 3 - SHORT TEXT")</f>
        <v>🔢📖 - 3 - SHORT TEXT</v>
      </c>
      <c r="D4" s="4" t="str">
        <f>HYPERLINK("#'Field Dictionary'!A232","🔢📖 - 4 - LINKED RECORD")</f>
        <v>🔢📖 - 4 - LINKED RECORD</v>
      </c>
      <c r="E4" s="4" t="str">
        <f>HYPERLINK("#'Field Dictionary'!A233","🔢📖 - 5 - INTEGER")</f>
        <v>🔢📖 - 5 - INTEGER</v>
      </c>
      <c r="F4" s="4" t="str">
        <f>HYPERLINK("#'Field Dictionary'!A234","🔢📖 - 6 - SHORT TEXT")</f>
        <v>🔢📖 - 6 - SHORT TEXT</v>
      </c>
      <c r="G4" s="4" t="str">
        <f>HYPERLINK("#'Field Dictionary'!A235","🔢📖 - 7 - SINGLE SELECT")</f>
        <v>🔢📖 - 7 - SINGLE SELECT</v>
      </c>
      <c r="H4" s="4" t="str">
        <f>HYPERLINK("#'Field Dictionary'!A236","🔢📖 - 8 - LONG TEXT")</f>
        <v>🔢📖 - 8 - LONG TEXT</v>
      </c>
      <c r="I4" s="4" t="str">
        <f>HYPERLINK("#'Field Dictionary'!A237","🔢📖 - 9 - LONG TEXT")</f>
        <v>🔢📖 - 9 - LONG TEXT</v>
      </c>
      <c r="J4" s="4" t="str">
        <f>HYPERLINK("#'Field Dictionary'!A238","🔢📖 - 10 - LINKED RECORD")</f>
        <v>🔢📖 - 10 - LINKED RECORD</v>
      </c>
      <c r="K4" s="4" t="str">
        <f>HYPERLINK("#'Field Dictionary'!A239","🔢📖 - 11 - INTEGER")</f>
        <v>🔢📖 - 11 - INTEGER</v>
      </c>
      <c r="L4" s="4" t="str">
        <f>HYPERLINK("#'Field Dictionary'!A240","🔢📖 - 12 - INTEGER")</f>
        <v>🔢📖 - 12 - INTEGER</v>
      </c>
      <c r="M4" s="4" t="str">
        <f>HYPERLINK("#'Field Dictionary'!A241","🔢📖 - 13 - LONG TEXT")</f>
        <v>🔢📖 - 13 - LONG TEXT</v>
      </c>
      <c r="N4" s="4" t="str">
        <f>HYPERLINK("#'Field Dictionary'!A242","🔢📖 - 14 - LONG TEXT")</f>
        <v>🔢📖 - 14 - LONG TEXT</v>
      </c>
      <c r="O4" s="4" t="str">
        <f>HYPERLINK("#'Field Dictionary'!A243","🔢📖 - 15 - LINKED RECORDS")</f>
        <v>🔢📖 - 15 - LINKED RECORDS</v>
      </c>
      <c r="P4" s="4" t="str">
        <f>HYPERLINK("#'Field Dictionary'!A244","🔢📖 - 16 - LONG TEXT")</f>
        <v>🔢📖 - 16 - LONG TEXT</v>
      </c>
    </row>
    <row r="5" spans="1:16" ht="38.1" customHeight="1" x14ac:dyDescent="0.2">
      <c r="A5" s="7" t="s">
        <v>100</v>
      </c>
      <c r="B5" s="7" t="s">
        <v>101</v>
      </c>
      <c r="C5" s="7" t="s">
        <v>102</v>
      </c>
      <c r="D5" s="7" t="s">
        <v>5701</v>
      </c>
      <c r="E5" s="7" t="s">
        <v>5702</v>
      </c>
      <c r="F5" s="7" t="s">
        <v>5703</v>
      </c>
      <c r="G5" s="7" t="s">
        <v>5704</v>
      </c>
      <c r="H5" s="7" t="s">
        <v>5705</v>
      </c>
      <c r="I5" s="7" t="s">
        <v>5706</v>
      </c>
      <c r="J5" s="7" t="s">
        <v>5707</v>
      </c>
      <c r="K5" s="7" t="s">
        <v>5708</v>
      </c>
      <c r="L5" s="7" t="s">
        <v>5709</v>
      </c>
      <c r="M5" s="7" t="s">
        <v>5710</v>
      </c>
      <c r="N5" s="7" t="s">
        <v>5711</v>
      </c>
      <c r="O5" s="7" t="s">
        <v>5712</v>
      </c>
      <c r="P5" s="7" t="s">
        <v>5713</v>
      </c>
    </row>
    <row r="6" spans="1:16" ht="38.1" customHeight="1" x14ac:dyDescent="0.2">
      <c r="A6" s="7" t="s">
        <v>115</v>
      </c>
      <c r="B6" s="7" t="s">
        <v>116</v>
      </c>
      <c r="C6" s="7" t="s">
        <v>117</v>
      </c>
      <c r="D6" s="7" t="s">
        <v>5714</v>
      </c>
      <c r="E6" s="7" t="s">
        <v>5715</v>
      </c>
      <c r="F6" s="7" t="s">
        <v>5716</v>
      </c>
      <c r="G6" s="7" t="s">
        <v>5717</v>
      </c>
      <c r="H6" s="7" t="s">
        <v>5718</v>
      </c>
      <c r="I6" s="7" t="s">
        <v>5719</v>
      </c>
      <c r="J6" s="7" t="s">
        <v>5720</v>
      </c>
      <c r="K6" s="7" t="s">
        <v>5721</v>
      </c>
      <c r="L6" s="7" t="s">
        <v>5722</v>
      </c>
      <c r="M6" s="7" t="s">
        <v>5723</v>
      </c>
      <c r="N6" s="7" t="s">
        <v>5724</v>
      </c>
      <c r="O6" s="7" t="s">
        <v>5725</v>
      </c>
      <c r="P6" s="7" t="s">
        <v>5726</v>
      </c>
    </row>
    <row r="7" spans="1:16" ht="50.1" customHeight="1" x14ac:dyDescent="0.2">
      <c r="A7" s="5" t="s">
        <v>47</v>
      </c>
      <c r="B7" s="5" t="s">
        <v>356</v>
      </c>
      <c r="C7" s="5" t="s">
        <v>360</v>
      </c>
      <c r="D7" s="5" t="s">
        <v>348</v>
      </c>
      <c r="E7" s="8">
        <v>1</v>
      </c>
      <c r="F7" s="5" t="s">
        <v>115</v>
      </c>
      <c r="G7" s="5" t="s">
        <v>2002</v>
      </c>
      <c r="H7" s="5" t="s">
        <v>362</v>
      </c>
      <c r="I7" s="5"/>
      <c r="J7" s="5"/>
      <c r="K7" s="8"/>
      <c r="L7" s="8"/>
      <c r="M7" s="5"/>
      <c r="N7" s="5" t="s">
        <v>364</v>
      </c>
      <c r="O7" s="5" t="s">
        <v>5727</v>
      </c>
      <c r="P7" s="5" t="s">
        <v>5728</v>
      </c>
    </row>
    <row r="8" spans="1:16" ht="50.1" customHeight="1" x14ac:dyDescent="0.2">
      <c r="A8" s="5" t="s">
        <v>5729</v>
      </c>
      <c r="B8" s="5" t="s">
        <v>368</v>
      </c>
      <c r="C8" s="5" t="s">
        <v>371</v>
      </c>
      <c r="D8" s="5" t="s">
        <v>348</v>
      </c>
      <c r="E8" s="8">
        <v>2</v>
      </c>
      <c r="F8" s="5" t="s">
        <v>116</v>
      </c>
      <c r="G8" s="5" t="s">
        <v>5730</v>
      </c>
      <c r="H8" s="5" t="s">
        <v>362</v>
      </c>
      <c r="I8" s="5"/>
      <c r="J8" s="5"/>
      <c r="K8" s="8"/>
      <c r="L8" s="8"/>
      <c r="M8" s="5"/>
      <c r="N8" s="5" t="s">
        <v>364</v>
      </c>
      <c r="O8" s="5" t="s">
        <v>5731</v>
      </c>
      <c r="P8" s="5" t="s">
        <v>5728</v>
      </c>
    </row>
    <row r="9" spans="1:16" ht="50.1" customHeight="1" x14ac:dyDescent="0.2">
      <c r="A9" s="5" t="s">
        <v>42</v>
      </c>
      <c r="B9" s="5" t="s">
        <v>376</v>
      </c>
      <c r="C9" s="5" t="s">
        <v>379</v>
      </c>
      <c r="D9" s="5" t="s">
        <v>348</v>
      </c>
      <c r="E9" s="8">
        <v>3</v>
      </c>
      <c r="F9" s="5" t="s">
        <v>117</v>
      </c>
      <c r="G9" s="5" t="s">
        <v>2002</v>
      </c>
      <c r="H9" s="5" t="s">
        <v>362</v>
      </c>
      <c r="I9" s="5"/>
      <c r="J9" s="5"/>
      <c r="K9" s="8"/>
      <c r="L9" s="8"/>
      <c r="M9" s="5"/>
      <c r="N9" s="5" t="s">
        <v>382</v>
      </c>
      <c r="O9" s="5" t="s">
        <v>5732</v>
      </c>
      <c r="P9" s="5" t="s">
        <v>5733</v>
      </c>
    </row>
    <row r="10" spans="1:16" ht="50.1" customHeight="1" x14ac:dyDescent="0.2">
      <c r="A10" s="5" t="s">
        <v>5734</v>
      </c>
      <c r="B10" s="5" t="s">
        <v>385</v>
      </c>
      <c r="C10" s="5" t="s">
        <v>388</v>
      </c>
      <c r="D10" s="5" t="s">
        <v>348</v>
      </c>
      <c r="E10" s="8">
        <v>4</v>
      </c>
      <c r="F10" s="5" t="s">
        <v>118</v>
      </c>
      <c r="G10" s="5" t="s">
        <v>5735</v>
      </c>
      <c r="H10" s="5" t="s">
        <v>390</v>
      </c>
      <c r="I10" s="5"/>
      <c r="J10" s="5" t="s">
        <v>1793</v>
      </c>
      <c r="K10" s="8">
        <v>0</v>
      </c>
      <c r="L10" s="8">
        <v>1</v>
      </c>
      <c r="M10" s="5"/>
      <c r="N10" s="5" t="s">
        <v>392</v>
      </c>
      <c r="O10" s="5" t="s">
        <v>5736</v>
      </c>
      <c r="P10" s="5" t="s">
        <v>5737</v>
      </c>
    </row>
    <row r="11" spans="1:16" ht="50.1" customHeight="1" x14ac:dyDescent="0.2">
      <c r="A11" s="5" t="s">
        <v>5738</v>
      </c>
      <c r="B11" s="5" t="s">
        <v>396</v>
      </c>
      <c r="C11" s="5" t="s">
        <v>399</v>
      </c>
      <c r="D11" s="5" t="s">
        <v>348</v>
      </c>
      <c r="E11" s="8">
        <v>5</v>
      </c>
      <c r="F11" s="5" t="s">
        <v>119</v>
      </c>
      <c r="G11" s="5" t="s">
        <v>5739</v>
      </c>
      <c r="H11" s="5" t="s">
        <v>362</v>
      </c>
      <c r="I11" s="5" t="s">
        <v>5740</v>
      </c>
      <c r="J11" s="5"/>
      <c r="K11" s="8"/>
      <c r="L11" s="8"/>
      <c r="M11" s="5"/>
      <c r="N11" s="5" t="s">
        <v>402</v>
      </c>
      <c r="O11" s="5" t="s">
        <v>5741</v>
      </c>
      <c r="P11" s="5" t="s">
        <v>5728</v>
      </c>
    </row>
    <row r="12" spans="1:16" ht="50.1" customHeight="1" x14ac:dyDescent="0.2">
      <c r="A12" s="5" t="s">
        <v>5742</v>
      </c>
      <c r="B12" s="5" t="s">
        <v>404</v>
      </c>
      <c r="C12" s="5" t="s">
        <v>407</v>
      </c>
      <c r="D12" s="5" t="s">
        <v>348</v>
      </c>
      <c r="E12" s="8">
        <v>6</v>
      </c>
      <c r="F12" s="5" t="s">
        <v>120</v>
      </c>
      <c r="G12" s="5" t="s">
        <v>5730</v>
      </c>
      <c r="H12" s="5" t="s">
        <v>362</v>
      </c>
      <c r="I12" s="5"/>
      <c r="J12" s="5"/>
      <c r="K12" s="8"/>
      <c r="L12" s="8"/>
      <c r="M12" s="5"/>
      <c r="N12" s="5" t="s">
        <v>364</v>
      </c>
      <c r="O12" s="5" t="s">
        <v>5743</v>
      </c>
      <c r="P12" s="5" t="s">
        <v>5728</v>
      </c>
    </row>
    <row r="13" spans="1:16" ht="50.1" customHeight="1" x14ac:dyDescent="0.2">
      <c r="A13" s="5" t="s">
        <v>5744</v>
      </c>
      <c r="B13" s="5" t="s">
        <v>412</v>
      </c>
      <c r="C13" s="5" t="s">
        <v>415</v>
      </c>
      <c r="D13" s="5" t="s">
        <v>348</v>
      </c>
      <c r="E13" s="8">
        <v>7</v>
      </c>
      <c r="F13" s="5" t="s">
        <v>121</v>
      </c>
      <c r="G13" s="5" t="s">
        <v>5735</v>
      </c>
      <c r="H13" s="5" t="s">
        <v>390</v>
      </c>
      <c r="I13" s="5"/>
      <c r="J13" s="5" t="s">
        <v>577</v>
      </c>
      <c r="K13" s="8">
        <v>0</v>
      </c>
      <c r="L13" s="8">
        <v>1</v>
      </c>
      <c r="M13" s="5"/>
      <c r="N13" s="5" t="s">
        <v>392</v>
      </c>
      <c r="O13" s="5" t="s">
        <v>5745</v>
      </c>
      <c r="P13" s="5" t="s">
        <v>5737</v>
      </c>
    </row>
    <row r="14" spans="1:16" ht="50.1" customHeight="1" x14ac:dyDescent="0.2">
      <c r="A14" s="5" t="s">
        <v>5746</v>
      </c>
      <c r="B14" s="5" t="s">
        <v>420</v>
      </c>
      <c r="C14" s="5" t="s">
        <v>423</v>
      </c>
      <c r="D14" s="5" t="s">
        <v>348</v>
      </c>
      <c r="E14" s="8">
        <v>8</v>
      </c>
      <c r="F14" s="5" t="s">
        <v>122</v>
      </c>
      <c r="G14" s="5" t="s">
        <v>5735</v>
      </c>
      <c r="H14" s="5" t="s">
        <v>390</v>
      </c>
      <c r="I14" s="5"/>
      <c r="J14" s="5" t="s">
        <v>1177</v>
      </c>
      <c r="K14" s="8">
        <v>0</v>
      </c>
      <c r="L14" s="8">
        <v>1</v>
      </c>
      <c r="M14" s="5"/>
      <c r="N14" s="5" t="s">
        <v>392</v>
      </c>
      <c r="O14" s="5" t="s">
        <v>5747</v>
      </c>
      <c r="P14" s="5" t="s">
        <v>5737</v>
      </c>
    </row>
    <row r="15" spans="1:16" ht="50.1" customHeight="1" x14ac:dyDescent="0.2">
      <c r="A15" s="5" t="s">
        <v>5748</v>
      </c>
      <c r="B15" s="5" t="s">
        <v>385</v>
      </c>
      <c r="C15" s="5" t="s">
        <v>430</v>
      </c>
      <c r="D15" s="5" t="s">
        <v>348</v>
      </c>
      <c r="E15" s="8">
        <v>9</v>
      </c>
      <c r="F15" s="5" t="s">
        <v>123</v>
      </c>
      <c r="G15" s="5" t="s">
        <v>5735</v>
      </c>
      <c r="H15" s="5" t="s">
        <v>390</v>
      </c>
      <c r="I15" s="5"/>
      <c r="J15" s="5" t="s">
        <v>1793</v>
      </c>
      <c r="K15" s="8">
        <v>0</v>
      </c>
      <c r="L15" s="8">
        <v>1</v>
      </c>
      <c r="M15" s="5"/>
      <c r="N15" s="5" t="s">
        <v>392</v>
      </c>
      <c r="O15" s="5" t="s">
        <v>5749</v>
      </c>
      <c r="P15" s="5" t="s">
        <v>5737</v>
      </c>
    </row>
    <row r="16" spans="1:16" ht="50.1" customHeight="1" x14ac:dyDescent="0.2">
      <c r="A16" s="5" t="s">
        <v>5750</v>
      </c>
      <c r="B16" s="5" t="s">
        <v>433</v>
      </c>
      <c r="C16" s="5" t="s">
        <v>436</v>
      </c>
      <c r="D16" s="5" t="s">
        <v>348</v>
      </c>
      <c r="E16" s="8">
        <v>10</v>
      </c>
      <c r="F16" s="5" t="s">
        <v>124</v>
      </c>
      <c r="G16" s="5" t="s">
        <v>5739</v>
      </c>
      <c r="H16" s="5" t="s">
        <v>362</v>
      </c>
      <c r="I16" s="5" t="s">
        <v>5751</v>
      </c>
      <c r="J16" s="5"/>
      <c r="K16" s="8"/>
      <c r="L16" s="8"/>
      <c r="M16" s="5"/>
      <c r="N16" s="5" t="s">
        <v>402</v>
      </c>
      <c r="O16" s="5" t="s">
        <v>5752</v>
      </c>
      <c r="P16" s="5" t="s">
        <v>5728</v>
      </c>
    </row>
    <row r="17" spans="1:16" ht="50.1" customHeight="1" x14ac:dyDescent="0.2">
      <c r="A17" s="5" t="s">
        <v>5753</v>
      </c>
      <c r="B17" s="5" t="s">
        <v>441</v>
      </c>
      <c r="C17" s="5" t="s">
        <v>444</v>
      </c>
      <c r="D17" s="5" t="s">
        <v>348</v>
      </c>
      <c r="E17" s="8">
        <v>11</v>
      </c>
      <c r="F17" s="5" t="s">
        <v>125</v>
      </c>
      <c r="G17" s="5" t="s">
        <v>2002</v>
      </c>
      <c r="H17" s="5" t="s">
        <v>362</v>
      </c>
      <c r="I17" s="5"/>
      <c r="J17" s="5"/>
      <c r="K17" s="8"/>
      <c r="L17" s="8"/>
      <c r="M17" s="5"/>
      <c r="N17" s="5" t="s">
        <v>364</v>
      </c>
      <c r="O17" s="5" t="s">
        <v>5754</v>
      </c>
      <c r="P17" s="5" t="s">
        <v>5728</v>
      </c>
    </row>
    <row r="18" spans="1:16" ht="50.1" customHeight="1" x14ac:dyDescent="0.2">
      <c r="A18" s="5" t="s">
        <v>5755</v>
      </c>
      <c r="B18" s="5" t="s">
        <v>449</v>
      </c>
      <c r="C18" s="5" t="s">
        <v>452</v>
      </c>
      <c r="D18" s="5" t="s">
        <v>348</v>
      </c>
      <c r="E18" s="8">
        <v>12</v>
      </c>
      <c r="F18" s="5" t="s">
        <v>126</v>
      </c>
      <c r="G18" s="5" t="s">
        <v>5735</v>
      </c>
      <c r="H18" s="5" t="s">
        <v>362</v>
      </c>
      <c r="I18" s="5"/>
      <c r="J18" s="5" t="s">
        <v>2433</v>
      </c>
      <c r="K18" s="8">
        <v>1</v>
      </c>
      <c r="L18" s="8">
        <v>1</v>
      </c>
      <c r="M18" s="5"/>
      <c r="N18" s="5" t="s">
        <v>392</v>
      </c>
      <c r="O18" s="5" t="s">
        <v>5756</v>
      </c>
      <c r="P18" s="5" t="s">
        <v>5737</v>
      </c>
    </row>
    <row r="19" spans="1:16" ht="50.1" customHeight="1" x14ac:dyDescent="0.2">
      <c r="A19" s="5" t="s">
        <v>5757</v>
      </c>
      <c r="B19" s="5" t="s">
        <v>457</v>
      </c>
      <c r="C19" s="5" t="s">
        <v>460</v>
      </c>
      <c r="D19" s="5" t="s">
        <v>348</v>
      </c>
      <c r="E19" s="8">
        <v>13</v>
      </c>
      <c r="F19" s="5" t="s">
        <v>127</v>
      </c>
      <c r="G19" s="5" t="s">
        <v>5735</v>
      </c>
      <c r="H19" s="5" t="s">
        <v>362</v>
      </c>
      <c r="I19" s="5"/>
      <c r="J19" s="5" t="s">
        <v>2593</v>
      </c>
      <c r="K19" s="8">
        <v>1</v>
      </c>
      <c r="L19" s="8">
        <v>1</v>
      </c>
      <c r="M19" s="5"/>
      <c r="N19" s="5" t="s">
        <v>392</v>
      </c>
      <c r="O19" s="5" t="s">
        <v>5758</v>
      </c>
      <c r="P19" s="5" t="s">
        <v>5737</v>
      </c>
    </row>
    <row r="20" spans="1:16" ht="50.1" customHeight="1" x14ac:dyDescent="0.2">
      <c r="A20" s="5" t="s">
        <v>5759</v>
      </c>
      <c r="B20" s="5" t="s">
        <v>465</v>
      </c>
      <c r="C20" s="5" t="s">
        <v>468</v>
      </c>
      <c r="D20" s="5" t="s">
        <v>348</v>
      </c>
      <c r="E20" s="8">
        <v>14</v>
      </c>
      <c r="F20" s="5" t="s">
        <v>128</v>
      </c>
      <c r="G20" s="5" t="s">
        <v>5735</v>
      </c>
      <c r="H20" s="5" t="s">
        <v>362</v>
      </c>
      <c r="I20" s="5"/>
      <c r="J20" s="5" t="s">
        <v>2719</v>
      </c>
      <c r="K20" s="8">
        <v>1</v>
      </c>
      <c r="L20" s="8">
        <v>1</v>
      </c>
      <c r="M20" s="5"/>
      <c r="N20" s="5" t="s">
        <v>392</v>
      </c>
      <c r="O20" s="5" t="s">
        <v>5760</v>
      </c>
      <c r="P20" s="5" t="s">
        <v>5737</v>
      </c>
    </row>
    <row r="21" spans="1:16" ht="57" customHeight="1" x14ac:dyDescent="0.2">
      <c r="A21" s="5" t="s">
        <v>5761</v>
      </c>
      <c r="B21" s="5" t="s">
        <v>473</v>
      </c>
      <c r="C21" s="5" t="s">
        <v>476</v>
      </c>
      <c r="D21" s="5" t="s">
        <v>348</v>
      </c>
      <c r="E21" s="8">
        <v>15</v>
      </c>
      <c r="F21" s="5" t="s">
        <v>129</v>
      </c>
      <c r="G21" s="5" t="s">
        <v>5739</v>
      </c>
      <c r="H21" s="5" t="s">
        <v>362</v>
      </c>
      <c r="I21" s="5" t="s">
        <v>70</v>
      </c>
      <c r="J21" s="5"/>
      <c r="K21" s="8"/>
      <c r="L21" s="8"/>
      <c r="M21" s="5"/>
      <c r="N21" s="5" t="s">
        <v>402</v>
      </c>
      <c r="O21" s="5" t="s">
        <v>5762</v>
      </c>
      <c r="P21" s="5" t="s">
        <v>5728</v>
      </c>
    </row>
    <row r="22" spans="1:16" ht="50.1" customHeight="1" x14ac:dyDescent="0.2">
      <c r="A22" s="5" t="s">
        <v>47</v>
      </c>
      <c r="B22" s="5" t="s">
        <v>356</v>
      </c>
      <c r="C22" s="5" t="s">
        <v>487</v>
      </c>
      <c r="D22" s="5" t="s">
        <v>482</v>
      </c>
      <c r="E22" s="8">
        <v>1</v>
      </c>
      <c r="F22" s="5" t="s">
        <v>115</v>
      </c>
      <c r="G22" s="5" t="s">
        <v>2002</v>
      </c>
      <c r="H22" s="5" t="s">
        <v>362</v>
      </c>
      <c r="I22" s="5"/>
      <c r="J22" s="5"/>
      <c r="K22" s="8"/>
      <c r="L22" s="8"/>
      <c r="M22" s="5"/>
      <c r="N22" s="5" t="s">
        <v>364</v>
      </c>
      <c r="O22" s="5" t="s">
        <v>5763</v>
      </c>
      <c r="P22" s="5" t="s">
        <v>5728</v>
      </c>
    </row>
    <row r="23" spans="1:16" ht="50.1" customHeight="1" x14ac:dyDescent="0.2">
      <c r="A23" s="5" t="s">
        <v>5729</v>
      </c>
      <c r="B23" s="5" t="s">
        <v>368</v>
      </c>
      <c r="C23" s="5" t="s">
        <v>492</v>
      </c>
      <c r="D23" s="5" t="s">
        <v>482</v>
      </c>
      <c r="E23" s="8">
        <v>2</v>
      </c>
      <c r="F23" s="5" t="s">
        <v>116</v>
      </c>
      <c r="G23" s="5" t="s">
        <v>5730</v>
      </c>
      <c r="H23" s="5" t="s">
        <v>362</v>
      </c>
      <c r="I23" s="5"/>
      <c r="J23" s="5"/>
      <c r="K23" s="8"/>
      <c r="L23" s="8"/>
      <c r="M23" s="5"/>
      <c r="N23" s="5" t="s">
        <v>364</v>
      </c>
      <c r="O23" s="5" t="s">
        <v>5764</v>
      </c>
      <c r="P23" s="5" t="s">
        <v>5728</v>
      </c>
    </row>
    <row r="24" spans="1:16" ht="50.1" customHeight="1" x14ac:dyDescent="0.2">
      <c r="A24" s="5" t="s">
        <v>42</v>
      </c>
      <c r="B24" s="5" t="s">
        <v>376</v>
      </c>
      <c r="C24" s="5" t="s">
        <v>497</v>
      </c>
      <c r="D24" s="5" t="s">
        <v>482</v>
      </c>
      <c r="E24" s="8">
        <v>3</v>
      </c>
      <c r="F24" s="5" t="s">
        <v>117</v>
      </c>
      <c r="G24" s="5" t="s">
        <v>2002</v>
      </c>
      <c r="H24" s="5" t="s">
        <v>362</v>
      </c>
      <c r="I24" s="5"/>
      <c r="J24" s="5"/>
      <c r="K24" s="8"/>
      <c r="L24" s="8"/>
      <c r="M24" s="5"/>
      <c r="N24" s="5" t="s">
        <v>382</v>
      </c>
      <c r="O24" s="5" t="s">
        <v>5765</v>
      </c>
      <c r="P24" s="5" t="s">
        <v>5733</v>
      </c>
    </row>
    <row r="25" spans="1:16" ht="50.1" customHeight="1" x14ac:dyDescent="0.2">
      <c r="A25" s="5" t="s">
        <v>5766</v>
      </c>
      <c r="B25" s="5" t="s">
        <v>500</v>
      </c>
      <c r="C25" s="5" t="s">
        <v>503</v>
      </c>
      <c r="D25" s="5" t="s">
        <v>482</v>
      </c>
      <c r="E25" s="8">
        <v>4</v>
      </c>
      <c r="F25" s="5" t="s">
        <v>167</v>
      </c>
      <c r="G25" s="5" t="s">
        <v>5735</v>
      </c>
      <c r="H25" s="5" t="s">
        <v>362</v>
      </c>
      <c r="I25" s="5"/>
      <c r="J25" s="5" t="s">
        <v>767</v>
      </c>
      <c r="K25" s="8">
        <v>1</v>
      </c>
      <c r="L25" s="8">
        <v>1</v>
      </c>
      <c r="M25" s="5"/>
      <c r="N25" s="5" t="s">
        <v>392</v>
      </c>
      <c r="O25" s="5" t="s">
        <v>5767</v>
      </c>
      <c r="P25" s="5" t="s">
        <v>5737</v>
      </c>
    </row>
    <row r="26" spans="1:16" ht="50.1" customHeight="1" x14ac:dyDescent="0.2">
      <c r="A26" s="5" t="s">
        <v>5768</v>
      </c>
      <c r="B26" s="5" t="s">
        <v>508</v>
      </c>
      <c r="C26" s="5" t="s">
        <v>511</v>
      </c>
      <c r="D26" s="5" t="s">
        <v>482</v>
      </c>
      <c r="E26" s="8">
        <v>5</v>
      </c>
      <c r="F26" s="5" t="s">
        <v>168</v>
      </c>
      <c r="G26" s="5" t="s">
        <v>5769</v>
      </c>
      <c r="H26" s="5" t="s">
        <v>362</v>
      </c>
      <c r="I26" s="5" t="s">
        <v>5770</v>
      </c>
      <c r="J26" s="5"/>
      <c r="K26" s="8"/>
      <c r="L26" s="8"/>
      <c r="M26" s="5"/>
      <c r="N26" s="5" t="s">
        <v>514</v>
      </c>
      <c r="O26" s="5" t="s">
        <v>5771</v>
      </c>
      <c r="P26" s="5" t="s">
        <v>5728</v>
      </c>
    </row>
    <row r="27" spans="1:16" ht="50.1" customHeight="1" x14ac:dyDescent="0.2">
      <c r="A27" s="5" t="s">
        <v>5772</v>
      </c>
      <c r="B27" s="5" t="s">
        <v>517</v>
      </c>
      <c r="C27" s="5" t="s">
        <v>520</v>
      </c>
      <c r="D27" s="5" t="s">
        <v>482</v>
      </c>
      <c r="E27" s="8">
        <v>6</v>
      </c>
      <c r="F27" s="5" t="s">
        <v>169</v>
      </c>
      <c r="G27" s="5" t="s">
        <v>5730</v>
      </c>
      <c r="H27" s="5" t="s">
        <v>362</v>
      </c>
      <c r="I27" s="5"/>
      <c r="J27" s="5"/>
      <c r="K27" s="8"/>
      <c r="L27" s="8"/>
      <c r="M27" s="5"/>
      <c r="N27" s="5" t="s">
        <v>364</v>
      </c>
      <c r="O27" s="5" t="s">
        <v>5773</v>
      </c>
      <c r="P27" s="5" t="s">
        <v>5728</v>
      </c>
    </row>
    <row r="28" spans="1:16" ht="50.1" customHeight="1" x14ac:dyDescent="0.2">
      <c r="A28" s="5" t="s">
        <v>5774</v>
      </c>
      <c r="B28" s="5" t="s">
        <v>525</v>
      </c>
      <c r="C28" s="5" t="s">
        <v>528</v>
      </c>
      <c r="D28" s="5" t="s">
        <v>482</v>
      </c>
      <c r="E28" s="8">
        <v>7</v>
      </c>
      <c r="F28" s="5" t="s">
        <v>170</v>
      </c>
      <c r="G28" s="5" t="s">
        <v>5730</v>
      </c>
      <c r="H28" s="5" t="s">
        <v>362</v>
      </c>
      <c r="I28" s="5"/>
      <c r="J28" s="5"/>
      <c r="K28" s="8"/>
      <c r="L28" s="8"/>
      <c r="M28" s="5"/>
      <c r="N28" s="5" t="s">
        <v>364</v>
      </c>
      <c r="O28" s="5" t="s">
        <v>5775</v>
      </c>
      <c r="P28" s="5" t="s">
        <v>5728</v>
      </c>
    </row>
    <row r="29" spans="1:16" ht="50.1" customHeight="1" x14ac:dyDescent="0.2">
      <c r="A29" s="5" t="s">
        <v>5776</v>
      </c>
      <c r="B29" s="5" t="s">
        <v>533</v>
      </c>
      <c r="C29" s="5" t="s">
        <v>536</v>
      </c>
      <c r="D29" s="5" t="s">
        <v>482</v>
      </c>
      <c r="E29" s="8">
        <v>8</v>
      </c>
      <c r="F29" s="5" t="s">
        <v>171</v>
      </c>
      <c r="G29" s="5" t="s">
        <v>5730</v>
      </c>
      <c r="H29" s="5" t="s">
        <v>362</v>
      </c>
      <c r="I29" s="5"/>
      <c r="J29" s="5"/>
      <c r="K29" s="8"/>
      <c r="L29" s="8"/>
      <c r="M29" s="5"/>
      <c r="N29" s="5" t="s">
        <v>364</v>
      </c>
      <c r="O29" s="5" t="s">
        <v>5777</v>
      </c>
      <c r="P29" s="5" t="s">
        <v>5728</v>
      </c>
    </row>
    <row r="30" spans="1:16" ht="50.1" customHeight="1" x14ac:dyDescent="0.2">
      <c r="A30" s="5" t="s">
        <v>5778</v>
      </c>
      <c r="B30" s="5" t="s">
        <v>541</v>
      </c>
      <c r="C30" s="5" t="s">
        <v>544</v>
      </c>
      <c r="D30" s="5" t="s">
        <v>482</v>
      </c>
      <c r="E30" s="8">
        <v>9</v>
      </c>
      <c r="F30" s="5" t="s">
        <v>172</v>
      </c>
      <c r="G30" s="5" t="s">
        <v>5730</v>
      </c>
      <c r="H30" s="5" t="s">
        <v>362</v>
      </c>
      <c r="I30" s="5"/>
      <c r="J30" s="5"/>
      <c r="K30" s="8"/>
      <c r="L30" s="8"/>
      <c r="M30" s="5"/>
      <c r="N30" s="5" t="s">
        <v>364</v>
      </c>
      <c r="O30" s="5" t="s">
        <v>5779</v>
      </c>
      <c r="P30" s="5" t="s">
        <v>5728</v>
      </c>
    </row>
    <row r="31" spans="1:16" ht="50.1" customHeight="1" x14ac:dyDescent="0.2">
      <c r="A31" s="5" t="s">
        <v>5780</v>
      </c>
      <c r="B31" s="5" t="s">
        <v>549</v>
      </c>
      <c r="C31" s="5" t="s">
        <v>552</v>
      </c>
      <c r="D31" s="5" t="s">
        <v>482</v>
      </c>
      <c r="E31" s="8">
        <v>10</v>
      </c>
      <c r="F31" s="5" t="s">
        <v>173</v>
      </c>
      <c r="G31" s="5" t="s">
        <v>5730</v>
      </c>
      <c r="H31" s="5" t="s">
        <v>362</v>
      </c>
      <c r="I31" s="5"/>
      <c r="J31" s="5"/>
      <c r="K31" s="8"/>
      <c r="L31" s="8"/>
      <c r="M31" s="5"/>
      <c r="N31" s="5" t="s">
        <v>364</v>
      </c>
      <c r="O31" s="5" t="s">
        <v>5781</v>
      </c>
      <c r="P31" s="5" t="s">
        <v>5728</v>
      </c>
    </row>
    <row r="32" spans="1:16" ht="50.1" customHeight="1" x14ac:dyDescent="0.2">
      <c r="A32" s="5" t="s">
        <v>5782</v>
      </c>
      <c r="B32" s="5" t="s">
        <v>557</v>
      </c>
      <c r="C32" s="5" t="s">
        <v>560</v>
      </c>
      <c r="D32" s="5" t="s">
        <v>482</v>
      </c>
      <c r="E32" s="8">
        <v>11</v>
      </c>
      <c r="F32" s="5" t="s">
        <v>174</v>
      </c>
      <c r="G32" s="5" t="s">
        <v>5730</v>
      </c>
      <c r="H32" s="5" t="s">
        <v>362</v>
      </c>
      <c r="I32" s="5"/>
      <c r="J32" s="5"/>
      <c r="K32" s="8"/>
      <c r="L32" s="8"/>
      <c r="M32" s="5"/>
      <c r="N32" s="5" t="s">
        <v>364</v>
      </c>
      <c r="O32" s="5" t="s">
        <v>5783</v>
      </c>
      <c r="P32" s="5" t="s">
        <v>5728</v>
      </c>
    </row>
    <row r="33" spans="1:16" ht="50.1" customHeight="1" x14ac:dyDescent="0.2">
      <c r="A33" s="5" t="s">
        <v>51</v>
      </c>
      <c r="B33" s="5" t="s">
        <v>565</v>
      </c>
      <c r="C33" s="5" t="s">
        <v>568</v>
      </c>
      <c r="D33" s="5" t="s">
        <v>482</v>
      </c>
      <c r="E33" s="8">
        <v>12</v>
      </c>
      <c r="F33" s="5" t="s">
        <v>175</v>
      </c>
      <c r="G33" s="5" t="s">
        <v>5784</v>
      </c>
      <c r="H33" s="5" t="s">
        <v>362</v>
      </c>
      <c r="I33" s="5" t="s">
        <v>5785</v>
      </c>
      <c r="J33" s="5" t="s">
        <v>668</v>
      </c>
      <c r="K33" s="8">
        <v>1</v>
      </c>
      <c r="L33" s="8"/>
      <c r="M33" s="5"/>
      <c r="N33" s="5" t="s">
        <v>571</v>
      </c>
      <c r="O33" s="5" t="s">
        <v>5786</v>
      </c>
      <c r="P33" s="5" t="s">
        <v>5737</v>
      </c>
    </row>
    <row r="34" spans="1:16" ht="50.1" customHeight="1" x14ac:dyDescent="0.2">
      <c r="A34" s="5" t="s">
        <v>47</v>
      </c>
      <c r="B34" s="5" t="s">
        <v>356</v>
      </c>
      <c r="C34" s="5" t="s">
        <v>582</v>
      </c>
      <c r="D34" s="5" t="s">
        <v>577</v>
      </c>
      <c r="E34" s="8">
        <v>1</v>
      </c>
      <c r="F34" s="5" t="s">
        <v>115</v>
      </c>
      <c r="G34" s="5" t="s">
        <v>2002</v>
      </c>
      <c r="H34" s="5" t="s">
        <v>362</v>
      </c>
      <c r="I34" s="5"/>
      <c r="J34" s="5"/>
      <c r="K34" s="8"/>
      <c r="L34" s="8"/>
      <c r="M34" s="5"/>
      <c r="N34" s="5" t="s">
        <v>364</v>
      </c>
      <c r="O34" s="5" t="s">
        <v>5787</v>
      </c>
      <c r="P34" s="5" t="s">
        <v>5728</v>
      </c>
    </row>
    <row r="35" spans="1:16" ht="50.1" customHeight="1" x14ac:dyDescent="0.2">
      <c r="A35" s="5" t="s">
        <v>5729</v>
      </c>
      <c r="B35" s="5" t="s">
        <v>368</v>
      </c>
      <c r="C35" s="5" t="s">
        <v>587</v>
      </c>
      <c r="D35" s="5" t="s">
        <v>577</v>
      </c>
      <c r="E35" s="8">
        <v>2</v>
      </c>
      <c r="F35" s="5" t="s">
        <v>116</v>
      </c>
      <c r="G35" s="5" t="s">
        <v>5730</v>
      </c>
      <c r="H35" s="5" t="s">
        <v>362</v>
      </c>
      <c r="I35" s="5"/>
      <c r="J35" s="5"/>
      <c r="K35" s="8"/>
      <c r="L35" s="8"/>
      <c r="M35" s="5"/>
      <c r="N35" s="5" t="s">
        <v>364</v>
      </c>
      <c r="O35" s="5" t="s">
        <v>5788</v>
      </c>
      <c r="P35" s="5" t="s">
        <v>5728</v>
      </c>
    </row>
    <row r="36" spans="1:16" ht="50.1" customHeight="1" x14ac:dyDescent="0.2">
      <c r="A36" s="5" t="s">
        <v>42</v>
      </c>
      <c r="B36" s="5" t="s">
        <v>376</v>
      </c>
      <c r="C36" s="5" t="s">
        <v>592</v>
      </c>
      <c r="D36" s="5" t="s">
        <v>577</v>
      </c>
      <c r="E36" s="8">
        <v>3</v>
      </c>
      <c r="F36" s="5" t="s">
        <v>117</v>
      </c>
      <c r="G36" s="5" t="s">
        <v>2002</v>
      </c>
      <c r="H36" s="5" t="s">
        <v>362</v>
      </c>
      <c r="I36" s="5"/>
      <c r="J36" s="5"/>
      <c r="K36" s="8"/>
      <c r="L36" s="8"/>
      <c r="M36" s="5"/>
      <c r="N36" s="5" t="s">
        <v>382</v>
      </c>
      <c r="O36" s="5" t="s">
        <v>5789</v>
      </c>
      <c r="P36" s="5" t="s">
        <v>5733</v>
      </c>
    </row>
    <row r="37" spans="1:16" ht="50.1" customHeight="1" x14ac:dyDescent="0.2">
      <c r="A37" s="5" t="s">
        <v>5790</v>
      </c>
      <c r="B37" s="5" t="s">
        <v>595</v>
      </c>
      <c r="C37" s="5" t="s">
        <v>598</v>
      </c>
      <c r="D37" s="5" t="s">
        <v>577</v>
      </c>
      <c r="E37" s="8">
        <v>4</v>
      </c>
      <c r="F37" s="5" t="s">
        <v>236</v>
      </c>
      <c r="G37" s="5" t="s">
        <v>5735</v>
      </c>
      <c r="H37" s="5" t="s">
        <v>362</v>
      </c>
      <c r="I37" s="5"/>
      <c r="J37" s="5" t="s">
        <v>348</v>
      </c>
      <c r="K37" s="8">
        <v>1</v>
      </c>
      <c r="L37" s="8">
        <v>1</v>
      </c>
      <c r="M37" s="5"/>
      <c r="N37" s="5" t="s">
        <v>392</v>
      </c>
      <c r="O37" s="5" t="s">
        <v>5791</v>
      </c>
      <c r="P37" s="5" t="s">
        <v>5737</v>
      </c>
    </row>
    <row r="38" spans="1:16" ht="50.1" customHeight="1" x14ac:dyDescent="0.2">
      <c r="A38" s="5" t="s">
        <v>5792</v>
      </c>
      <c r="B38" s="5" t="s">
        <v>603</v>
      </c>
      <c r="C38" s="5" t="s">
        <v>606</v>
      </c>
      <c r="D38" s="5" t="s">
        <v>577</v>
      </c>
      <c r="E38" s="8">
        <v>5</v>
      </c>
      <c r="F38" s="5" t="s">
        <v>237</v>
      </c>
      <c r="G38" s="5" t="s">
        <v>5735</v>
      </c>
      <c r="H38" s="5" t="s">
        <v>362</v>
      </c>
      <c r="I38" s="5"/>
      <c r="J38" s="5" t="s">
        <v>482</v>
      </c>
      <c r="K38" s="8">
        <v>1</v>
      </c>
      <c r="L38" s="8">
        <v>1</v>
      </c>
      <c r="M38" s="5"/>
      <c r="N38" s="5" t="s">
        <v>392</v>
      </c>
      <c r="O38" s="5" t="s">
        <v>5793</v>
      </c>
      <c r="P38" s="5" t="s">
        <v>5737</v>
      </c>
    </row>
    <row r="39" spans="1:16" ht="50.1" customHeight="1" x14ac:dyDescent="0.2">
      <c r="A39" s="5" t="s">
        <v>5794</v>
      </c>
      <c r="B39" s="5" t="s">
        <v>412</v>
      </c>
      <c r="C39" s="5" t="s">
        <v>613</v>
      </c>
      <c r="D39" s="5" t="s">
        <v>577</v>
      </c>
      <c r="E39" s="8">
        <v>6</v>
      </c>
      <c r="F39" s="5" t="s">
        <v>238</v>
      </c>
      <c r="G39" s="5" t="s">
        <v>5735</v>
      </c>
      <c r="H39" s="5" t="s">
        <v>390</v>
      </c>
      <c r="I39" s="5"/>
      <c r="J39" s="5" t="s">
        <v>577</v>
      </c>
      <c r="K39" s="8">
        <v>0</v>
      </c>
      <c r="L39" s="8">
        <v>1</v>
      </c>
      <c r="M39" s="5"/>
      <c r="N39" s="5" t="s">
        <v>392</v>
      </c>
      <c r="O39" s="5" t="s">
        <v>5795</v>
      </c>
      <c r="P39" s="5" t="s">
        <v>5737</v>
      </c>
    </row>
    <row r="40" spans="1:16" ht="50.1" customHeight="1" x14ac:dyDescent="0.2">
      <c r="A40" s="5" t="s">
        <v>5796</v>
      </c>
      <c r="B40" s="5" t="s">
        <v>616</v>
      </c>
      <c r="C40" s="5" t="s">
        <v>619</v>
      </c>
      <c r="D40" s="5" t="s">
        <v>577</v>
      </c>
      <c r="E40" s="8">
        <v>7</v>
      </c>
      <c r="F40" s="5" t="s">
        <v>239</v>
      </c>
      <c r="G40" s="5" t="s">
        <v>2002</v>
      </c>
      <c r="H40" s="5" t="s">
        <v>390</v>
      </c>
      <c r="I40" s="5"/>
      <c r="J40" s="5"/>
      <c r="K40" s="8"/>
      <c r="L40" s="8"/>
      <c r="M40" s="5"/>
      <c r="N40" s="5" t="s">
        <v>364</v>
      </c>
      <c r="O40" s="5" t="s">
        <v>5797</v>
      </c>
      <c r="P40" s="5" t="s">
        <v>5728</v>
      </c>
    </row>
    <row r="41" spans="1:16" ht="50.1" customHeight="1" x14ac:dyDescent="0.2">
      <c r="A41" s="5" t="s">
        <v>5798</v>
      </c>
      <c r="B41" s="5" t="s">
        <v>624</v>
      </c>
      <c r="C41" s="5" t="s">
        <v>627</v>
      </c>
      <c r="D41" s="5" t="s">
        <v>577</v>
      </c>
      <c r="E41" s="8">
        <v>8</v>
      </c>
      <c r="F41" s="5" t="s">
        <v>240</v>
      </c>
      <c r="G41" s="5" t="s">
        <v>5769</v>
      </c>
      <c r="H41" s="5" t="s">
        <v>362</v>
      </c>
      <c r="I41" s="5" t="s">
        <v>5770</v>
      </c>
      <c r="J41" s="5"/>
      <c r="K41" s="8"/>
      <c r="L41" s="8"/>
      <c r="M41" s="5"/>
      <c r="N41" s="5" t="s">
        <v>514</v>
      </c>
      <c r="O41" s="5" t="s">
        <v>5799</v>
      </c>
      <c r="P41" s="5" t="s">
        <v>5728</v>
      </c>
    </row>
    <row r="42" spans="1:16" ht="50.1" customHeight="1" x14ac:dyDescent="0.2">
      <c r="A42" s="5" t="s">
        <v>5800</v>
      </c>
      <c r="B42" s="5" t="s">
        <v>412</v>
      </c>
      <c r="C42" s="5" t="s">
        <v>633</v>
      </c>
      <c r="D42" s="5" t="s">
        <v>577</v>
      </c>
      <c r="E42" s="8">
        <v>9</v>
      </c>
      <c r="F42" s="5" t="s">
        <v>241</v>
      </c>
      <c r="G42" s="5" t="s">
        <v>5735</v>
      </c>
      <c r="H42" s="5" t="s">
        <v>390</v>
      </c>
      <c r="I42" s="5"/>
      <c r="J42" s="5" t="s">
        <v>577</v>
      </c>
      <c r="K42" s="8">
        <v>0</v>
      </c>
      <c r="L42" s="8">
        <v>1</v>
      </c>
      <c r="M42" s="5"/>
      <c r="N42" s="5" t="s">
        <v>392</v>
      </c>
      <c r="O42" s="5" t="s">
        <v>5801</v>
      </c>
      <c r="P42" s="5" t="s">
        <v>5737</v>
      </c>
    </row>
    <row r="43" spans="1:16" ht="50.1" customHeight="1" x14ac:dyDescent="0.2">
      <c r="A43" s="5" t="s">
        <v>5750</v>
      </c>
      <c r="B43" s="5" t="s">
        <v>636</v>
      </c>
      <c r="C43" s="5" t="s">
        <v>639</v>
      </c>
      <c r="D43" s="5" t="s">
        <v>577</v>
      </c>
      <c r="E43" s="8">
        <v>10</v>
      </c>
      <c r="F43" s="5" t="s">
        <v>124</v>
      </c>
      <c r="G43" s="5" t="s">
        <v>5739</v>
      </c>
      <c r="H43" s="5" t="s">
        <v>362</v>
      </c>
      <c r="I43" s="5" t="s">
        <v>5751</v>
      </c>
      <c r="J43" s="5"/>
      <c r="K43" s="8"/>
      <c r="L43" s="8"/>
      <c r="M43" s="5"/>
      <c r="N43" s="5" t="s">
        <v>402</v>
      </c>
      <c r="O43" s="5" t="s">
        <v>5802</v>
      </c>
      <c r="P43" s="5" t="s">
        <v>5728</v>
      </c>
    </row>
    <row r="44" spans="1:16" ht="50.1" customHeight="1" x14ac:dyDescent="0.2">
      <c r="A44" s="5" t="s">
        <v>5803</v>
      </c>
      <c r="B44" s="5" t="s">
        <v>643</v>
      </c>
      <c r="C44" s="5" t="s">
        <v>646</v>
      </c>
      <c r="D44" s="5" t="s">
        <v>577</v>
      </c>
      <c r="E44" s="8">
        <v>11</v>
      </c>
      <c r="F44" s="5" t="s">
        <v>242</v>
      </c>
      <c r="G44" s="5" t="s">
        <v>5730</v>
      </c>
      <c r="H44" s="5" t="s">
        <v>362</v>
      </c>
      <c r="I44" s="5"/>
      <c r="J44" s="5"/>
      <c r="K44" s="8"/>
      <c r="L44" s="8"/>
      <c r="M44" s="5"/>
      <c r="N44" s="5" t="s">
        <v>364</v>
      </c>
      <c r="O44" s="5" t="s">
        <v>5804</v>
      </c>
      <c r="P44" s="5" t="s">
        <v>5728</v>
      </c>
    </row>
    <row r="45" spans="1:16" ht="50.1" customHeight="1" x14ac:dyDescent="0.2">
      <c r="A45" s="5" t="s">
        <v>5805</v>
      </c>
      <c r="B45" s="5" t="s">
        <v>651</v>
      </c>
      <c r="C45" s="5" t="s">
        <v>654</v>
      </c>
      <c r="D45" s="5" t="s">
        <v>577</v>
      </c>
      <c r="E45" s="8">
        <v>12</v>
      </c>
      <c r="F45" s="5" t="s">
        <v>243</v>
      </c>
      <c r="G45" s="5" t="s">
        <v>5730</v>
      </c>
      <c r="H45" s="5" t="s">
        <v>362</v>
      </c>
      <c r="I45" s="5"/>
      <c r="J45" s="5"/>
      <c r="K45" s="8"/>
      <c r="L45" s="8"/>
      <c r="M45" s="5"/>
      <c r="N45" s="5" t="s">
        <v>364</v>
      </c>
      <c r="O45" s="5" t="s">
        <v>5806</v>
      </c>
      <c r="P45" s="5" t="s">
        <v>5728</v>
      </c>
    </row>
    <row r="46" spans="1:16" ht="50.1" customHeight="1" x14ac:dyDescent="0.2">
      <c r="A46" s="5" t="s">
        <v>5807</v>
      </c>
      <c r="B46" s="5" t="s">
        <v>659</v>
      </c>
      <c r="C46" s="5" t="s">
        <v>662</v>
      </c>
      <c r="D46" s="5" t="s">
        <v>577</v>
      </c>
      <c r="E46" s="8">
        <v>13</v>
      </c>
      <c r="F46" s="5" t="s">
        <v>244</v>
      </c>
      <c r="G46" s="5" t="s">
        <v>5739</v>
      </c>
      <c r="H46" s="5" t="s">
        <v>362</v>
      </c>
      <c r="I46" s="5" t="s">
        <v>5808</v>
      </c>
      <c r="J46" s="5"/>
      <c r="K46" s="8"/>
      <c r="L46" s="8"/>
      <c r="M46" s="5"/>
      <c r="N46" s="5" t="s">
        <v>402</v>
      </c>
      <c r="O46" s="5" t="s">
        <v>5809</v>
      </c>
      <c r="P46" s="5" t="s">
        <v>5728</v>
      </c>
    </row>
    <row r="47" spans="1:16" ht="50.1" customHeight="1" x14ac:dyDescent="0.2">
      <c r="A47" s="5" t="s">
        <v>47</v>
      </c>
      <c r="B47" s="5" t="s">
        <v>356</v>
      </c>
      <c r="C47" s="5" t="s">
        <v>673</v>
      </c>
      <c r="D47" s="5" t="s">
        <v>668</v>
      </c>
      <c r="E47" s="8">
        <v>1</v>
      </c>
      <c r="F47" s="5" t="s">
        <v>115</v>
      </c>
      <c r="G47" s="5" t="s">
        <v>2002</v>
      </c>
      <c r="H47" s="5" t="s">
        <v>362</v>
      </c>
      <c r="I47" s="5"/>
      <c r="J47" s="5"/>
      <c r="K47" s="8"/>
      <c r="L47" s="8"/>
      <c r="M47" s="5"/>
      <c r="N47" s="5" t="s">
        <v>364</v>
      </c>
      <c r="O47" s="5" t="s">
        <v>5810</v>
      </c>
      <c r="P47" s="5" t="s">
        <v>5728</v>
      </c>
    </row>
    <row r="48" spans="1:16" ht="50.1" customHeight="1" x14ac:dyDescent="0.2">
      <c r="A48" s="5" t="s">
        <v>5729</v>
      </c>
      <c r="B48" s="5" t="s">
        <v>368</v>
      </c>
      <c r="C48" s="5" t="s">
        <v>678</v>
      </c>
      <c r="D48" s="5" t="s">
        <v>668</v>
      </c>
      <c r="E48" s="8">
        <v>2</v>
      </c>
      <c r="F48" s="5" t="s">
        <v>116</v>
      </c>
      <c r="G48" s="5" t="s">
        <v>5730</v>
      </c>
      <c r="H48" s="5" t="s">
        <v>362</v>
      </c>
      <c r="I48" s="5"/>
      <c r="J48" s="5"/>
      <c r="K48" s="8"/>
      <c r="L48" s="8"/>
      <c r="M48" s="5"/>
      <c r="N48" s="5" t="s">
        <v>364</v>
      </c>
      <c r="O48" s="5" t="s">
        <v>5811</v>
      </c>
      <c r="P48" s="5" t="s">
        <v>5728</v>
      </c>
    </row>
    <row r="49" spans="1:16" ht="50.1" customHeight="1" x14ac:dyDescent="0.2">
      <c r="A49" s="5" t="s">
        <v>42</v>
      </c>
      <c r="B49" s="5" t="s">
        <v>376</v>
      </c>
      <c r="C49" s="5" t="s">
        <v>683</v>
      </c>
      <c r="D49" s="5" t="s">
        <v>668</v>
      </c>
      <c r="E49" s="8">
        <v>3</v>
      </c>
      <c r="F49" s="5" t="s">
        <v>117</v>
      </c>
      <c r="G49" s="5" t="s">
        <v>2002</v>
      </c>
      <c r="H49" s="5" t="s">
        <v>362</v>
      </c>
      <c r="I49" s="5"/>
      <c r="J49" s="5"/>
      <c r="K49" s="8"/>
      <c r="L49" s="8"/>
      <c r="M49" s="5"/>
      <c r="N49" s="5" t="s">
        <v>382</v>
      </c>
      <c r="O49" s="5" t="s">
        <v>5812</v>
      </c>
      <c r="P49" s="5" t="s">
        <v>5733</v>
      </c>
    </row>
    <row r="50" spans="1:16" ht="50.1" customHeight="1" x14ac:dyDescent="0.2">
      <c r="A50" s="5" t="s">
        <v>5766</v>
      </c>
      <c r="B50" s="5" t="s">
        <v>500</v>
      </c>
      <c r="C50" s="5" t="s">
        <v>688</v>
      </c>
      <c r="D50" s="5" t="s">
        <v>668</v>
      </c>
      <c r="E50" s="8">
        <v>4</v>
      </c>
      <c r="F50" s="5" t="s">
        <v>167</v>
      </c>
      <c r="G50" s="5" t="s">
        <v>5735</v>
      </c>
      <c r="H50" s="5" t="s">
        <v>362</v>
      </c>
      <c r="I50" s="5"/>
      <c r="J50" s="5" t="s">
        <v>767</v>
      </c>
      <c r="K50" s="8">
        <v>1</v>
      </c>
      <c r="L50" s="8">
        <v>1</v>
      </c>
      <c r="M50" s="5"/>
      <c r="N50" s="5" t="s">
        <v>392</v>
      </c>
      <c r="O50" s="5" t="s">
        <v>5813</v>
      </c>
      <c r="P50" s="5" t="s">
        <v>5737</v>
      </c>
    </row>
    <row r="51" spans="1:16" ht="50.1" customHeight="1" x14ac:dyDescent="0.2">
      <c r="A51" s="5" t="s">
        <v>5742</v>
      </c>
      <c r="B51" s="5" t="s">
        <v>691</v>
      </c>
      <c r="C51" s="5" t="s">
        <v>694</v>
      </c>
      <c r="D51" s="5" t="s">
        <v>668</v>
      </c>
      <c r="E51" s="8">
        <v>5</v>
      </c>
      <c r="F51" s="5" t="s">
        <v>335</v>
      </c>
      <c r="G51" s="5" t="s">
        <v>5739</v>
      </c>
      <c r="H51" s="5" t="s">
        <v>362</v>
      </c>
      <c r="I51" s="5" t="s">
        <v>5814</v>
      </c>
      <c r="J51" s="5"/>
      <c r="K51" s="8"/>
      <c r="L51" s="8"/>
      <c r="M51" s="5"/>
      <c r="N51" s="5" t="s">
        <v>402</v>
      </c>
      <c r="O51" s="5" t="s">
        <v>5815</v>
      </c>
      <c r="P51" s="5" t="s">
        <v>5728</v>
      </c>
    </row>
    <row r="52" spans="1:16" ht="50.1" customHeight="1" x14ac:dyDescent="0.2">
      <c r="A52" s="5" t="s">
        <v>50</v>
      </c>
      <c r="B52" s="5" t="s">
        <v>698</v>
      </c>
      <c r="C52" s="5" t="s">
        <v>701</v>
      </c>
      <c r="D52" s="5" t="s">
        <v>668</v>
      </c>
      <c r="E52" s="8">
        <v>6</v>
      </c>
      <c r="F52" s="5" t="s">
        <v>336</v>
      </c>
      <c r="G52" s="5" t="s">
        <v>5735</v>
      </c>
      <c r="H52" s="5" t="s">
        <v>703</v>
      </c>
      <c r="I52" s="5"/>
      <c r="J52" s="5" t="s">
        <v>1871</v>
      </c>
      <c r="K52" s="8">
        <v>0</v>
      </c>
      <c r="L52" s="8">
        <v>1</v>
      </c>
      <c r="M52" s="5"/>
      <c r="N52" s="5" t="s">
        <v>392</v>
      </c>
      <c r="O52" s="5" t="s">
        <v>5816</v>
      </c>
      <c r="P52" s="5" t="s">
        <v>5737</v>
      </c>
    </row>
    <row r="53" spans="1:16" ht="50.1" customHeight="1" x14ac:dyDescent="0.2">
      <c r="A53" s="5" t="s">
        <v>5817</v>
      </c>
      <c r="B53" s="5" t="s">
        <v>707</v>
      </c>
      <c r="C53" s="5" t="s">
        <v>710</v>
      </c>
      <c r="D53" s="5" t="s">
        <v>668</v>
      </c>
      <c r="E53" s="8">
        <v>7</v>
      </c>
      <c r="F53" s="5" t="s">
        <v>337</v>
      </c>
      <c r="G53" s="5" t="s">
        <v>5735</v>
      </c>
      <c r="H53" s="5" t="s">
        <v>712</v>
      </c>
      <c r="I53" s="5"/>
      <c r="J53" s="5" t="s">
        <v>1959</v>
      </c>
      <c r="K53" s="8">
        <v>0</v>
      </c>
      <c r="L53" s="8">
        <v>1</v>
      </c>
      <c r="M53" s="5"/>
      <c r="N53" s="5" t="s">
        <v>392</v>
      </c>
      <c r="O53" s="5" t="s">
        <v>5818</v>
      </c>
      <c r="P53" s="5" t="s">
        <v>5737</v>
      </c>
    </row>
    <row r="54" spans="1:16" ht="50.1" customHeight="1" x14ac:dyDescent="0.2">
      <c r="A54" s="5" t="s">
        <v>5819</v>
      </c>
      <c r="B54" s="5" t="s">
        <v>716</v>
      </c>
      <c r="C54" s="5" t="s">
        <v>719</v>
      </c>
      <c r="D54" s="5" t="s">
        <v>668</v>
      </c>
      <c r="E54" s="8">
        <v>8</v>
      </c>
      <c r="F54" s="5" t="s">
        <v>338</v>
      </c>
      <c r="G54" s="5" t="s">
        <v>5730</v>
      </c>
      <c r="H54" s="5" t="s">
        <v>362</v>
      </c>
      <c r="I54" s="5"/>
      <c r="J54" s="5"/>
      <c r="K54" s="8"/>
      <c r="L54" s="8"/>
      <c r="M54" s="5"/>
      <c r="N54" s="5" t="s">
        <v>364</v>
      </c>
      <c r="O54" s="5" t="s">
        <v>5820</v>
      </c>
      <c r="P54" s="5" t="s">
        <v>5728</v>
      </c>
    </row>
    <row r="55" spans="1:16" ht="50.1" customHeight="1" x14ac:dyDescent="0.2">
      <c r="A55" s="5" t="s">
        <v>5821</v>
      </c>
      <c r="B55" s="5" t="s">
        <v>724</v>
      </c>
      <c r="C55" s="5" t="s">
        <v>727</v>
      </c>
      <c r="D55" s="5" t="s">
        <v>668</v>
      </c>
      <c r="E55" s="8">
        <v>9</v>
      </c>
      <c r="F55" s="5" t="s">
        <v>339</v>
      </c>
      <c r="G55" s="5" t="s">
        <v>5730</v>
      </c>
      <c r="H55" s="5" t="s">
        <v>362</v>
      </c>
      <c r="I55" s="5"/>
      <c r="J55" s="5"/>
      <c r="K55" s="8"/>
      <c r="L55" s="8"/>
      <c r="M55" s="5"/>
      <c r="N55" s="5" t="s">
        <v>364</v>
      </c>
      <c r="O55" s="5" t="s">
        <v>5822</v>
      </c>
      <c r="P55" s="5" t="s">
        <v>5728</v>
      </c>
    </row>
    <row r="56" spans="1:16" ht="50.1" customHeight="1" x14ac:dyDescent="0.2">
      <c r="A56" s="5" t="s">
        <v>5823</v>
      </c>
      <c r="B56" s="5" t="s">
        <v>732</v>
      </c>
      <c r="C56" s="5" t="s">
        <v>735</v>
      </c>
      <c r="D56" s="5" t="s">
        <v>668</v>
      </c>
      <c r="E56" s="8">
        <v>10</v>
      </c>
      <c r="F56" s="5" t="s">
        <v>340</v>
      </c>
      <c r="G56" s="5" t="s">
        <v>5730</v>
      </c>
      <c r="H56" s="5" t="s">
        <v>362</v>
      </c>
      <c r="I56" s="5"/>
      <c r="J56" s="5"/>
      <c r="K56" s="8"/>
      <c r="L56" s="8"/>
      <c r="M56" s="5"/>
      <c r="N56" s="5" t="s">
        <v>364</v>
      </c>
      <c r="O56" s="5" t="s">
        <v>5824</v>
      </c>
      <c r="P56" s="5" t="s">
        <v>5728</v>
      </c>
    </row>
    <row r="57" spans="1:16" ht="50.1" customHeight="1" x14ac:dyDescent="0.2">
      <c r="A57" s="5" t="s">
        <v>5825</v>
      </c>
      <c r="B57" s="5" t="s">
        <v>740</v>
      </c>
      <c r="C57" s="5" t="s">
        <v>743</v>
      </c>
      <c r="D57" s="5" t="s">
        <v>668</v>
      </c>
      <c r="E57" s="8">
        <v>11</v>
      </c>
      <c r="F57" s="5" t="s">
        <v>341</v>
      </c>
      <c r="G57" s="5" t="s">
        <v>5730</v>
      </c>
      <c r="H57" s="5" t="s">
        <v>362</v>
      </c>
      <c r="I57" s="5"/>
      <c r="J57" s="5"/>
      <c r="K57" s="8"/>
      <c r="L57" s="8"/>
      <c r="M57" s="5"/>
      <c r="N57" s="5" t="s">
        <v>364</v>
      </c>
      <c r="O57" s="5" t="s">
        <v>5826</v>
      </c>
      <c r="P57" s="5" t="s">
        <v>5728</v>
      </c>
    </row>
    <row r="58" spans="1:16" ht="50.1" customHeight="1" x14ac:dyDescent="0.2">
      <c r="A58" s="5" t="s">
        <v>5827</v>
      </c>
      <c r="B58" s="5" t="s">
        <v>748</v>
      </c>
      <c r="C58" s="5" t="s">
        <v>751</v>
      </c>
      <c r="D58" s="5" t="s">
        <v>668</v>
      </c>
      <c r="E58" s="8">
        <v>12</v>
      </c>
      <c r="F58" s="5" t="s">
        <v>342</v>
      </c>
      <c r="G58" s="5" t="s">
        <v>5730</v>
      </c>
      <c r="H58" s="5" t="s">
        <v>362</v>
      </c>
      <c r="I58" s="5"/>
      <c r="J58" s="5"/>
      <c r="K58" s="8"/>
      <c r="L58" s="8"/>
      <c r="M58" s="5"/>
      <c r="N58" s="5" t="s">
        <v>364</v>
      </c>
      <c r="O58" s="5" t="s">
        <v>5828</v>
      </c>
      <c r="P58" s="5" t="s">
        <v>5728</v>
      </c>
    </row>
    <row r="59" spans="1:16" ht="50.1" customHeight="1" x14ac:dyDescent="0.2">
      <c r="A59" s="5" t="s">
        <v>5829</v>
      </c>
      <c r="B59" s="5" t="s">
        <v>756</v>
      </c>
      <c r="C59" s="5" t="s">
        <v>759</v>
      </c>
      <c r="D59" s="5" t="s">
        <v>668</v>
      </c>
      <c r="E59" s="8">
        <v>13</v>
      </c>
      <c r="F59" s="5" t="s">
        <v>343</v>
      </c>
      <c r="G59" s="5" t="s">
        <v>5730</v>
      </c>
      <c r="H59" s="5" t="s">
        <v>362</v>
      </c>
      <c r="I59" s="5"/>
      <c r="J59" s="5"/>
      <c r="K59" s="8"/>
      <c r="L59" s="8"/>
      <c r="M59" s="5"/>
      <c r="N59" s="5" t="s">
        <v>364</v>
      </c>
      <c r="O59" s="5" t="s">
        <v>5830</v>
      </c>
      <c r="P59" s="5" t="s">
        <v>5728</v>
      </c>
    </row>
    <row r="60" spans="1:16" ht="50.1" customHeight="1" x14ac:dyDescent="0.2">
      <c r="A60" s="5" t="s">
        <v>47</v>
      </c>
      <c r="B60" s="5" t="s">
        <v>356</v>
      </c>
      <c r="C60" s="5" t="s">
        <v>772</v>
      </c>
      <c r="D60" s="5" t="s">
        <v>767</v>
      </c>
      <c r="E60" s="8">
        <v>1</v>
      </c>
      <c r="F60" s="5" t="s">
        <v>115</v>
      </c>
      <c r="G60" s="5" t="s">
        <v>2002</v>
      </c>
      <c r="H60" s="5" t="s">
        <v>362</v>
      </c>
      <c r="I60" s="5"/>
      <c r="J60" s="5"/>
      <c r="K60" s="8"/>
      <c r="L60" s="8"/>
      <c r="M60" s="5"/>
      <c r="N60" s="5" t="s">
        <v>364</v>
      </c>
      <c r="O60" s="5" t="s">
        <v>5831</v>
      </c>
      <c r="P60" s="5" t="s">
        <v>5728</v>
      </c>
    </row>
    <row r="61" spans="1:16" ht="50.1" customHeight="1" x14ac:dyDescent="0.2">
      <c r="A61" s="5" t="s">
        <v>5729</v>
      </c>
      <c r="B61" s="5" t="s">
        <v>368</v>
      </c>
      <c r="C61" s="5" t="s">
        <v>777</v>
      </c>
      <c r="D61" s="5" t="s">
        <v>767</v>
      </c>
      <c r="E61" s="8">
        <v>2</v>
      </c>
      <c r="F61" s="5" t="s">
        <v>116</v>
      </c>
      <c r="G61" s="5" t="s">
        <v>5730</v>
      </c>
      <c r="H61" s="5" t="s">
        <v>362</v>
      </c>
      <c r="I61" s="5"/>
      <c r="J61" s="5"/>
      <c r="K61" s="8"/>
      <c r="L61" s="8"/>
      <c r="M61" s="5"/>
      <c r="N61" s="5" t="s">
        <v>364</v>
      </c>
      <c r="O61" s="5" t="s">
        <v>5832</v>
      </c>
      <c r="P61" s="5" t="s">
        <v>5728</v>
      </c>
    </row>
    <row r="62" spans="1:16" ht="50.1" customHeight="1" x14ac:dyDescent="0.2">
      <c r="A62" s="5" t="s">
        <v>42</v>
      </c>
      <c r="B62" s="5" t="s">
        <v>376</v>
      </c>
      <c r="C62" s="5" t="s">
        <v>782</v>
      </c>
      <c r="D62" s="5" t="s">
        <v>767</v>
      </c>
      <c r="E62" s="8">
        <v>3</v>
      </c>
      <c r="F62" s="5" t="s">
        <v>117</v>
      </c>
      <c r="G62" s="5" t="s">
        <v>2002</v>
      </c>
      <c r="H62" s="5" t="s">
        <v>362</v>
      </c>
      <c r="I62" s="5"/>
      <c r="J62" s="5"/>
      <c r="K62" s="8"/>
      <c r="L62" s="8"/>
      <c r="M62" s="5"/>
      <c r="N62" s="5" t="s">
        <v>382</v>
      </c>
      <c r="O62" s="5" t="s">
        <v>5833</v>
      </c>
      <c r="P62" s="5" t="s">
        <v>5733</v>
      </c>
    </row>
    <row r="63" spans="1:16" ht="50.1" customHeight="1" x14ac:dyDescent="0.2">
      <c r="A63" s="5" t="s">
        <v>5834</v>
      </c>
      <c r="B63" s="5" t="s">
        <v>785</v>
      </c>
      <c r="C63" s="5" t="s">
        <v>788</v>
      </c>
      <c r="D63" s="5" t="s">
        <v>767</v>
      </c>
      <c r="E63" s="8">
        <v>4</v>
      </c>
      <c r="F63" s="5" t="s">
        <v>3094</v>
      </c>
      <c r="G63" s="5" t="s">
        <v>2002</v>
      </c>
      <c r="H63" s="5" t="s">
        <v>362</v>
      </c>
      <c r="I63" s="5"/>
      <c r="J63" s="5"/>
      <c r="K63" s="8"/>
      <c r="L63" s="8"/>
      <c r="M63" s="5"/>
      <c r="N63" s="5" t="s">
        <v>364</v>
      </c>
      <c r="O63" s="5" t="s">
        <v>5835</v>
      </c>
      <c r="P63" s="5" t="s">
        <v>5728</v>
      </c>
    </row>
    <row r="64" spans="1:16" ht="50.1" customHeight="1" x14ac:dyDescent="0.2">
      <c r="A64" s="5" t="s">
        <v>5836</v>
      </c>
      <c r="B64" s="5" t="s">
        <v>793</v>
      </c>
      <c r="C64" s="5" t="s">
        <v>796</v>
      </c>
      <c r="D64" s="5" t="s">
        <v>767</v>
      </c>
      <c r="E64" s="8">
        <v>5</v>
      </c>
      <c r="F64" s="5" t="s">
        <v>3095</v>
      </c>
      <c r="G64" s="5" t="s">
        <v>5769</v>
      </c>
      <c r="H64" s="5" t="s">
        <v>362</v>
      </c>
      <c r="I64" s="5" t="s">
        <v>5770</v>
      </c>
      <c r="J64" s="5"/>
      <c r="K64" s="8"/>
      <c r="L64" s="8"/>
      <c r="M64" s="5"/>
      <c r="N64" s="5" t="s">
        <v>514</v>
      </c>
      <c r="O64" s="5" t="s">
        <v>5837</v>
      </c>
      <c r="P64" s="5" t="s">
        <v>5728</v>
      </c>
    </row>
    <row r="65" spans="1:16" ht="50.1" customHeight="1" x14ac:dyDescent="0.2">
      <c r="A65" s="5" t="s">
        <v>5790</v>
      </c>
      <c r="B65" s="5" t="s">
        <v>595</v>
      </c>
      <c r="C65" s="5" t="s">
        <v>802</v>
      </c>
      <c r="D65" s="5" t="s">
        <v>767</v>
      </c>
      <c r="E65" s="8">
        <v>6</v>
      </c>
      <c r="F65" s="5" t="s">
        <v>3096</v>
      </c>
      <c r="G65" s="5" t="s">
        <v>5735</v>
      </c>
      <c r="H65" s="5" t="s">
        <v>362</v>
      </c>
      <c r="I65" s="5"/>
      <c r="J65" s="5" t="s">
        <v>348</v>
      </c>
      <c r="K65" s="8">
        <v>1</v>
      </c>
      <c r="L65" s="8">
        <v>1</v>
      </c>
      <c r="M65" s="5"/>
      <c r="N65" s="5" t="s">
        <v>392</v>
      </c>
      <c r="O65" s="5" t="s">
        <v>5838</v>
      </c>
      <c r="P65" s="5" t="s">
        <v>5737</v>
      </c>
    </row>
    <row r="66" spans="1:16" ht="50.1" customHeight="1" x14ac:dyDescent="0.2">
      <c r="A66" s="5" t="s">
        <v>5839</v>
      </c>
      <c r="B66" s="5" t="s">
        <v>698</v>
      </c>
      <c r="C66" s="5" t="s">
        <v>807</v>
      </c>
      <c r="D66" s="5" t="s">
        <v>767</v>
      </c>
      <c r="E66" s="8">
        <v>7</v>
      </c>
      <c r="F66" s="5" t="s">
        <v>3097</v>
      </c>
      <c r="G66" s="5" t="s">
        <v>5735</v>
      </c>
      <c r="H66" s="5" t="s">
        <v>362</v>
      </c>
      <c r="I66" s="5"/>
      <c r="J66" s="5" t="s">
        <v>1871</v>
      </c>
      <c r="K66" s="8">
        <v>1</v>
      </c>
      <c r="L66" s="8">
        <v>1</v>
      </c>
      <c r="M66" s="5"/>
      <c r="N66" s="5" t="s">
        <v>392</v>
      </c>
      <c r="O66" s="5" t="s">
        <v>5840</v>
      </c>
      <c r="P66" s="5" t="s">
        <v>5737</v>
      </c>
    </row>
    <row r="67" spans="1:16" ht="50.1" customHeight="1" x14ac:dyDescent="0.2">
      <c r="A67" s="5" t="s">
        <v>5841</v>
      </c>
      <c r="B67" s="5" t="s">
        <v>810</v>
      </c>
      <c r="C67" s="5" t="s">
        <v>813</v>
      </c>
      <c r="D67" s="5" t="s">
        <v>767</v>
      </c>
      <c r="E67" s="8">
        <v>8</v>
      </c>
      <c r="F67" s="5" t="s">
        <v>3098</v>
      </c>
      <c r="G67" s="5" t="s">
        <v>2002</v>
      </c>
      <c r="H67" s="5" t="s">
        <v>362</v>
      </c>
      <c r="I67" s="5"/>
      <c r="J67" s="5"/>
      <c r="K67" s="8"/>
      <c r="L67" s="8"/>
      <c r="M67" s="5"/>
      <c r="N67" s="5" t="s">
        <v>364</v>
      </c>
      <c r="O67" s="5" t="s">
        <v>5842</v>
      </c>
      <c r="P67" s="5" t="s">
        <v>5728</v>
      </c>
    </row>
    <row r="68" spans="1:16" ht="50.1" customHeight="1" x14ac:dyDescent="0.2">
      <c r="A68" s="5" t="s">
        <v>5843</v>
      </c>
      <c r="B68" s="5" t="s">
        <v>818</v>
      </c>
      <c r="C68" s="5" t="s">
        <v>821</v>
      </c>
      <c r="D68" s="5" t="s">
        <v>767</v>
      </c>
      <c r="E68" s="8">
        <v>9</v>
      </c>
      <c r="F68" s="5" t="s">
        <v>3099</v>
      </c>
      <c r="G68" s="5" t="s">
        <v>5735</v>
      </c>
      <c r="H68" s="5" t="s">
        <v>390</v>
      </c>
      <c r="I68" s="5"/>
      <c r="J68" s="5" t="s">
        <v>767</v>
      </c>
      <c r="K68" s="8">
        <v>0</v>
      </c>
      <c r="L68" s="8">
        <v>1</v>
      </c>
      <c r="M68" s="5"/>
      <c r="N68" s="5" t="s">
        <v>392</v>
      </c>
      <c r="O68" s="5" t="s">
        <v>5844</v>
      </c>
      <c r="P68" s="5" t="s">
        <v>5737</v>
      </c>
    </row>
    <row r="69" spans="1:16" ht="50.1" customHeight="1" x14ac:dyDescent="0.2">
      <c r="A69" s="5" t="s">
        <v>5845</v>
      </c>
      <c r="B69" s="5" t="s">
        <v>412</v>
      </c>
      <c r="C69" s="5" t="s">
        <v>827</v>
      </c>
      <c r="D69" s="5" t="s">
        <v>767</v>
      </c>
      <c r="E69" s="8">
        <v>10</v>
      </c>
      <c r="F69" s="5" t="s">
        <v>3100</v>
      </c>
      <c r="G69" s="5" t="s">
        <v>5735</v>
      </c>
      <c r="H69" s="5" t="s">
        <v>390</v>
      </c>
      <c r="I69" s="5"/>
      <c r="J69" s="5" t="s">
        <v>577</v>
      </c>
      <c r="K69" s="8">
        <v>0</v>
      </c>
      <c r="L69" s="8">
        <v>1</v>
      </c>
      <c r="M69" s="5"/>
      <c r="N69" s="5" t="s">
        <v>392</v>
      </c>
      <c r="O69" s="5" t="s">
        <v>5846</v>
      </c>
      <c r="P69" s="5" t="s">
        <v>5737</v>
      </c>
    </row>
    <row r="70" spans="1:16" ht="50.1" customHeight="1" x14ac:dyDescent="0.2">
      <c r="A70" s="5" t="s">
        <v>5847</v>
      </c>
      <c r="B70" s="5" t="s">
        <v>830</v>
      </c>
      <c r="C70" s="5" t="s">
        <v>833</v>
      </c>
      <c r="D70" s="5" t="s">
        <v>767</v>
      </c>
      <c r="E70" s="8">
        <v>11</v>
      </c>
      <c r="F70" s="5" t="s">
        <v>3101</v>
      </c>
      <c r="G70" s="5" t="s">
        <v>5730</v>
      </c>
      <c r="H70" s="5" t="s">
        <v>362</v>
      </c>
      <c r="I70" s="5"/>
      <c r="J70" s="5"/>
      <c r="K70" s="8"/>
      <c r="L70" s="8"/>
      <c r="M70" s="5"/>
      <c r="N70" s="5" t="s">
        <v>364</v>
      </c>
      <c r="O70" s="5" t="s">
        <v>5848</v>
      </c>
      <c r="P70" s="5" t="s">
        <v>5728</v>
      </c>
    </row>
    <row r="71" spans="1:16" ht="50.1" customHeight="1" x14ac:dyDescent="0.2">
      <c r="A71" s="5" t="s">
        <v>5807</v>
      </c>
      <c r="B71" s="5" t="s">
        <v>838</v>
      </c>
      <c r="C71" s="5" t="s">
        <v>841</v>
      </c>
      <c r="D71" s="5" t="s">
        <v>767</v>
      </c>
      <c r="E71" s="8">
        <v>12</v>
      </c>
      <c r="F71" s="5" t="s">
        <v>3102</v>
      </c>
      <c r="G71" s="5" t="s">
        <v>5739</v>
      </c>
      <c r="H71" s="5" t="s">
        <v>362</v>
      </c>
      <c r="I71" s="5" t="s">
        <v>5849</v>
      </c>
      <c r="J71" s="5"/>
      <c r="K71" s="8"/>
      <c r="L71" s="8"/>
      <c r="M71" s="5"/>
      <c r="N71" s="5" t="s">
        <v>402</v>
      </c>
      <c r="O71" s="5" t="s">
        <v>5850</v>
      </c>
      <c r="P71" s="5" t="s">
        <v>5728</v>
      </c>
    </row>
    <row r="72" spans="1:16" ht="50.1" customHeight="1" x14ac:dyDescent="0.2">
      <c r="A72" s="5" t="s">
        <v>5851</v>
      </c>
      <c r="B72" s="5" t="s">
        <v>845</v>
      </c>
      <c r="C72" s="5" t="s">
        <v>848</v>
      </c>
      <c r="D72" s="5" t="s">
        <v>767</v>
      </c>
      <c r="E72" s="8">
        <v>13</v>
      </c>
      <c r="F72" s="5" t="s">
        <v>3103</v>
      </c>
      <c r="G72" s="5" t="s">
        <v>5739</v>
      </c>
      <c r="H72" s="5" t="s">
        <v>362</v>
      </c>
      <c r="I72" s="5" t="s">
        <v>5852</v>
      </c>
      <c r="J72" s="5"/>
      <c r="K72" s="8"/>
      <c r="L72" s="8"/>
      <c r="M72" s="5"/>
      <c r="N72" s="5" t="s">
        <v>402</v>
      </c>
      <c r="O72" s="5" t="s">
        <v>5853</v>
      </c>
      <c r="P72" s="5" t="s">
        <v>5728</v>
      </c>
    </row>
    <row r="73" spans="1:16" ht="50.1" customHeight="1" x14ac:dyDescent="0.2">
      <c r="A73" s="5" t="s">
        <v>47</v>
      </c>
      <c r="B73" s="5" t="s">
        <v>356</v>
      </c>
      <c r="C73" s="5" t="s">
        <v>861</v>
      </c>
      <c r="D73" s="5" t="s">
        <v>856</v>
      </c>
      <c r="E73" s="8">
        <v>1</v>
      </c>
      <c r="F73" s="5" t="s">
        <v>115</v>
      </c>
      <c r="G73" s="5" t="s">
        <v>2002</v>
      </c>
      <c r="H73" s="5" t="s">
        <v>362</v>
      </c>
      <c r="I73" s="5"/>
      <c r="J73" s="5"/>
      <c r="K73" s="8"/>
      <c r="L73" s="8"/>
      <c r="M73" s="5"/>
      <c r="N73" s="5" t="s">
        <v>364</v>
      </c>
      <c r="O73" s="5" t="s">
        <v>5854</v>
      </c>
      <c r="P73" s="5" t="s">
        <v>5728</v>
      </c>
    </row>
    <row r="74" spans="1:16" ht="50.1" customHeight="1" x14ac:dyDescent="0.2">
      <c r="A74" s="5" t="s">
        <v>5729</v>
      </c>
      <c r="B74" s="5" t="s">
        <v>368</v>
      </c>
      <c r="C74" s="5" t="s">
        <v>866</v>
      </c>
      <c r="D74" s="5" t="s">
        <v>856</v>
      </c>
      <c r="E74" s="8">
        <v>2</v>
      </c>
      <c r="F74" s="5" t="s">
        <v>116</v>
      </c>
      <c r="G74" s="5" t="s">
        <v>5730</v>
      </c>
      <c r="H74" s="5" t="s">
        <v>362</v>
      </c>
      <c r="I74" s="5"/>
      <c r="J74" s="5"/>
      <c r="K74" s="8"/>
      <c r="L74" s="8"/>
      <c r="M74" s="5"/>
      <c r="N74" s="5" t="s">
        <v>364</v>
      </c>
      <c r="O74" s="5" t="s">
        <v>5855</v>
      </c>
      <c r="P74" s="5" t="s">
        <v>5728</v>
      </c>
    </row>
    <row r="75" spans="1:16" ht="50.1" customHeight="1" x14ac:dyDescent="0.2">
      <c r="A75" s="5" t="s">
        <v>42</v>
      </c>
      <c r="B75" s="5" t="s">
        <v>376</v>
      </c>
      <c r="C75" s="5" t="s">
        <v>871</v>
      </c>
      <c r="D75" s="5" t="s">
        <v>856</v>
      </c>
      <c r="E75" s="8">
        <v>3</v>
      </c>
      <c r="F75" s="5" t="s">
        <v>117</v>
      </c>
      <c r="G75" s="5" t="s">
        <v>2002</v>
      </c>
      <c r="H75" s="5" t="s">
        <v>362</v>
      </c>
      <c r="I75" s="5"/>
      <c r="J75" s="5"/>
      <c r="K75" s="8"/>
      <c r="L75" s="8"/>
      <c r="M75" s="5"/>
      <c r="N75" s="5" t="s">
        <v>382</v>
      </c>
      <c r="O75" s="5" t="s">
        <v>5856</v>
      </c>
      <c r="P75" s="5" t="s">
        <v>5733</v>
      </c>
    </row>
    <row r="76" spans="1:16" ht="50.1" customHeight="1" x14ac:dyDescent="0.2">
      <c r="A76" s="5" t="s">
        <v>5766</v>
      </c>
      <c r="B76" s="5" t="s">
        <v>500</v>
      </c>
      <c r="C76" s="5" t="s">
        <v>876</v>
      </c>
      <c r="D76" s="5" t="s">
        <v>856</v>
      </c>
      <c r="E76" s="8">
        <v>4</v>
      </c>
      <c r="F76" s="5" t="s">
        <v>167</v>
      </c>
      <c r="G76" s="5" t="s">
        <v>5735</v>
      </c>
      <c r="H76" s="5" t="s">
        <v>362</v>
      </c>
      <c r="I76" s="5"/>
      <c r="J76" s="5" t="s">
        <v>767</v>
      </c>
      <c r="K76" s="8">
        <v>1</v>
      </c>
      <c r="L76" s="8">
        <v>1</v>
      </c>
      <c r="M76" s="5"/>
      <c r="N76" s="5" t="s">
        <v>392</v>
      </c>
      <c r="O76" s="5" t="s">
        <v>5857</v>
      </c>
      <c r="P76" s="5" t="s">
        <v>5737</v>
      </c>
    </row>
    <row r="77" spans="1:16" ht="50.1" customHeight="1" x14ac:dyDescent="0.2">
      <c r="A77" s="5" t="s">
        <v>5858</v>
      </c>
      <c r="B77" s="5" t="s">
        <v>879</v>
      </c>
      <c r="C77" s="5" t="s">
        <v>882</v>
      </c>
      <c r="D77" s="5" t="s">
        <v>856</v>
      </c>
      <c r="E77" s="8">
        <v>5</v>
      </c>
      <c r="F77" s="5" t="s">
        <v>4406</v>
      </c>
      <c r="G77" s="5" t="s">
        <v>5739</v>
      </c>
      <c r="H77" s="5" t="s">
        <v>362</v>
      </c>
      <c r="I77" s="5" t="s">
        <v>5859</v>
      </c>
      <c r="J77" s="5"/>
      <c r="K77" s="8"/>
      <c r="L77" s="8"/>
      <c r="M77" s="5"/>
      <c r="N77" s="5" t="s">
        <v>402</v>
      </c>
      <c r="O77" s="5" t="s">
        <v>5860</v>
      </c>
      <c r="P77" s="5" t="s">
        <v>5728</v>
      </c>
    </row>
    <row r="78" spans="1:16" ht="50.1" customHeight="1" x14ac:dyDescent="0.2">
      <c r="A78" s="5" t="s">
        <v>5861</v>
      </c>
      <c r="B78" s="5" t="s">
        <v>420</v>
      </c>
      <c r="C78" s="5" t="s">
        <v>889</v>
      </c>
      <c r="D78" s="5" t="s">
        <v>856</v>
      </c>
      <c r="E78" s="8">
        <v>6</v>
      </c>
      <c r="F78" s="5" t="s">
        <v>4407</v>
      </c>
      <c r="G78" s="5" t="s">
        <v>5735</v>
      </c>
      <c r="H78" s="5" t="s">
        <v>390</v>
      </c>
      <c r="I78" s="5"/>
      <c r="J78" s="5" t="s">
        <v>1177</v>
      </c>
      <c r="K78" s="8">
        <v>0</v>
      </c>
      <c r="L78" s="8">
        <v>1</v>
      </c>
      <c r="M78" s="5"/>
      <c r="N78" s="5" t="s">
        <v>392</v>
      </c>
      <c r="O78" s="5" t="s">
        <v>5862</v>
      </c>
      <c r="P78" s="5" t="s">
        <v>5737</v>
      </c>
    </row>
    <row r="79" spans="1:16" ht="50.1" customHeight="1" x14ac:dyDescent="0.2">
      <c r="A79" s="5" t="s">
        <v>5863</v>
      </c>
      <c r="B79" s="5" t="s">
        <v>892</v>
      </c>
      <c r="C79" s="5" t="s">
        <v>895</v>
      </c>
      <c r="D79" s="5" t="s">
        <v>856</v>
      </c>
      <c r="E79" s="8">
        <v>7</v>
      </c>
      <c r="F79" s="5" t="s">
        <v>4408</v>
      </c>
      <c r="G79" s="5" t="s">
        <v>5864</v>
      </c>
      <c r="H79" s="5" t="s">
        <v>390</v>
      </c>
      <c r="I79" s="5"/>
      <c r="J79" s="5"/>
      <c r="K79" s="8"/>
      <c r="L79" s="8"/>
      <c r="M79" s="5"/>
      <c r="N79" s="5" t="s">
        <v>364</v>
      </c>
      <c r="O79" s="5" t="s">
        <v>5865</v>
      </c>
      <c r="P79" s="5" t="s">
        <v>5728</v>
      </c>
    </row>
    <row r="80" spans="1:16" ht="50.1" customHeight="1" x14ac:dyDescent="0.2">
      <c r="A80" s="5" t="s">
        <v>5866</v>
      </c>
      <c r="B80" s="5" t="s">
        <v>900</v>
      </c>
      <c r="C80" s="5" t="s">
        <v>903</v>
      </c>
      <c r="D80" s="5" t="s">
        <v>856</v>
      </c>
      <c r="E80" s="8">
        <v>8</v>
      </c>
      <c r="F80" s="5" t="s">
        <v>4409</v>
      </c>
      <c r="G80" s="5" t="s">
        <v>2002</v>
      </c>
      <c r="H80" s="5" t="s">
        <v>362</v>
      </c>
      <c r="I80" s="5"/>
      <c r="J80" s="5"/>
      <c r="K80" s="8"/>
      <c r="L80" s="8"/>
      <c r="M80" s="5"/>
      <c r="N80" s="5" t="s">
        <v>364</v>
      </c>
      <c r="O80" s="5" t="s">
        <v>5867</v>
      </c>
      <c r="P80" s="5" t="s">
        <v>5728</v>
      </c>
    </row>
    <row r="81" spans="1:16" ht="50.1" customHeight="1" x14ac:dyDescent="0.2">
      <c r="A81" s="5" t="s">
        <v>5868</v>
      </c>
      <c r="B81" s="5" t="s">
        <v>908</v>
      </c>
      <c r="C81" s="5" t="s">
        <v>911</v>
      </c>
      <c r="D81" s="5" t="s">
        <v>856</v>
      </c>
      <c r="E81" s="8">
        <v>9</v>
      </c>
      <c r="F81" s="5" t="s">
        <v>4410</v>
      </c>
      <c r="G81" s="5" t="s">
        <v>5730</v>
      </c>
      <c r="H81" s="5" t="s">
        <v>362</v>
      </c>
      <c r="I81" s="5"/>
      <c r="J81" s="5"/>
      <c r="K81" s="8"/>
      <c r="L81" s="8"/>
      <c r="M81" s="5"/>
      <c r="N81" s="5" t="s">
        <v>364</v>
      </c>
      <c r="O81" s="5" t="s">
        <v>5869</v>
      </c>
      <c r="P81" s="5" t="s">
        <v>5728</v>
      </c>
    </row>
    <row r="82" spans="1:16" ht="50.1" customHeight="1" x14ac:dyDescent="0.2">
      <c r="A82" s="5" t="s">
        <v>5870</v>
      </c>
      <c r="B82" s="5" t="s">
        <v>916</v>
      </c>
      <c r="C82" s="5" t="s">
        <v>919</v>
      </c>
      <c r="D82" s="5" t="s">
        <v>856</v>
      </c>
      <c r="E82" s="8">
        <v>10</v>
      </c>
      <c r="F82" s="5" t="s">
        <v>4411</v>
      </c>
      <c r="G82" s="5" t="s">
        <v>5739</v>
      </c>
      <c r="H82" s="5" t="s">
        <v>362</v>
      </c>
      <c r="I82" s="5" t="s">
        <v>5871</v>
      </c>
      <c r="J82" s="5"/>
      <c r="K82" s="8"/>
      <c r="L82" s="8"/>
      <c r="M82" s="5"/>
      <c r="N82" s="5" t="s">
        <v>402</v>
      </c>
      <c r="O82" s="5" t="s">
        <v>5872</v>
      </c>
      <c r="P82" s="5" t="s">
        <v>5728</v>
      </c>
    </row>
    <row r="83" spans="1:16" ht="50.1" customHeight="1" x14ac:dyDescent="0.2">
      <c r="A83" s="5" t="s">
        <v>5873</v>
      </c>
      <c r="B83" s="5" t="s">
        <v>924</v>
      </c>
      <c r="C83" s="5" t="s">
        <v>927</v>
      </c>
      <c r="D83" s="5" t="s">
        <v>856</v>
      </c>
      <c r="E83" s="8">
        <v>11</v>
      </c>
      <c r="F83" s="5" t="s">
        <v>4412</v>
      </c>
      <c r="G83" s="5" t="s">
        <v>5730</v>
      </c>
      <c r="H83" s="5" t="s">
        <v>362</v>
      </c>
      <c r="I83" s="5"/>
      <c r="J83" s="5"/>
      <c r="K83" s="8"/>
      <c r="L83" s="8"/>
      <c r="M83" s="5"/>
      <c r="N83" s="5" t="s">
        <v>364</v>
      </c>
      <c r="O83" s="5" t="s">
        <v>5874</v>
      </c>
      <c r="P83" s="5" t="s">
        <v>5728</v>
      </c>
    </row>
    <row r="84" spans="1:16" ht="50.1" customHeight="1" x14ac:dyDescent="0.2">
      <c r="A84" s="5" t="s">
        <v>47</v>
      </c>
      <c r="B84" s="5" t="s">
        <v>356</v>
      </c>
      <c r="C84" s="5" t="s">
        <v>940</v>
      </c>
      <c r="D84" s="5" t="s">
        <v>935</v>
      </c>
      <c r="E84" s="8">
        <v>1</v>
      </c>
      <c r="F84" s="5" t="s">
        <v>115</v>
      </c>
      <c r="G84" s="5" t="s">
        <v>2002</v>
      </c>
      <c r="H84" s="5" t="s">
        <v>362</v>
      </c>
      <c r="I84" s="5"/>
      <c r="J84" s="5"/>
      <c r="K84" s="8"/>
      <c r="L84" s="8"/>
      <c r="M84" s="5"/>
      <c r="N84" s="5" t="s">
        <v>364</v>
      </c>
      <c r="O84" s="5" t="s">
        <v>5875</v>
      </c>
      <c r="P84" s="5" t="s">
        <v>5728</v>
      </c>
    </row>
    <row r="85" spans="1:16" ht="50.1" customHeight="1" x14ac:dyDescent="0.2">
      <c r="A85" s="5" t="s">
        <v>5729</v>
      </c>
      <c r="B85" s="5" t="s">
        <v>368</v>
      </c>
      <c r="C85" s="5" t="s">
        <v>945</v>
      </c>
      <c r="D85" s="5" t="s">
        <v>935</v>
      </c>
      <c r="E85" s="8">
        <v>2</v>
      </c>
      <c r="F85" s="5" t="s">
        <v>116</v>
      </c>
      <c r="G85" s="5" t="s">
        <v>5730</v>
      </c>
      <c r="H85" s="5" t="s">
        <v>362</v>
      </c>
      <c r="I85" s="5"/>
      <c r="J85" s="5"/>
      <c r="K85" s="8"/>
      <c r="L85" s="8"/>
      <c r="M85" s="5"/>
      <c r="N85" s="5" t="s">
        <v>364</v>
      </c>
      <c r="O85" s="5" t="s">
        <v>5876</v>
      </c>
      <c r="P85" s="5" t="s">
        <v>5728</v>
      </c>
    </row>
    <row r="86" spans="1:16" ht="50.1" customHeight="1" x14ac:dyDescent="0.2">
      <c r="A86" s="5" t="s">
        <v>42</v>
      </c>
      <c r="B86" s="5" t="s">
        <v>376</v>
      </c>
      <c r="C86" s="5" t="s">
        <v>950</v>
      </c>
      <c r="D86" s="5" t="s">
        <v>935</v>
      </c>
      <c r="E86" s="8">
        <v>3</v>
      </c>
      <c r="F86" s="5" t="s">
        <v>117</v>
      </c>
      <c r="G86" s="5" t="s">
        <v>2002</v>
      </c>
      <c r="H86" s="5" t="s">
        <v>362</v>
      </c>
      <c r="I86" s="5"/>
      <c r="J86" s="5"/>
      <c r="K86" s="8"/>
      <c r="L86" s="8"/>
      <c r="M86" s="5"/>
      <c r="N86" s="5" t="s">
        <v>382</v>
      </c>
      <c r="O86" s="5" t="s">
        <v>5877</v>
      </c>
      <c r="P86" s="5" t="s">
        <v>5733</v>
      </c>
    </row>
    <row r="87" spans="1:16" ht="50.1" customHeight="1" x14ac:dyDescent="0.2">
      <c r="A87" s="5" t="s">
        <v>5766</v>
      </c>
      <c r="B87" s="5" t="s">
        <v>500</v>
      </c>
      <c r="C87" s="5" t="s">
        <v>955</v>
      </c>
      <c r="D87" s="5" t="s">
        <v>935</v>
      </c>
      <c r="E87" s="8">
        <v>4</v>
      </c>
      <c r="F87" s="5" t="s">
        <v>167</v>
      </c>
      <c r="G87" s="5" t="s">
        <v>5735</v>
      </c>
      <c r="H87" s="5" t="s">
        <v>362</v>
      </c>
      <c r="I87" s="5"/>
      <c r="J87" s="5" t="s">
        <v>767</v>
      </c>
      <c r="K87" s="8">
        <v>1</v>
      </c>
      <c r="L87" s="8">
        <v>1</v>
      </c>
      <c r="M87" s="5"/>
      <c r="N87" s="5" t="s">
        <v>392</v>
      </c>
      <c r="O87" s="5" t="s">
        <v>5878</v>
      </c>
      <c r="P87" s="5" t="s">
        <v>5737</v>
      </c>
    </row>
    <row r="88" spans="1:16" ht="50.1" customHeight="1" x14ac:dyDescent="0.2">
      <c r="A88" s="5" t="s">
        <v>5879</v>
      </c>
      <c r="B88" s="5" t="s">
        <v>958</v>
      </c>
      <c r="C88" s="5" t="s">
        <v>961</v>
      </c>
      <c r="D88" s="5" t="s">
        <v>935</v>
      </c>
      <c r="E88" s="8">
        <v>5</v>
      </c>
      <c r="F88" s="5" t="s">
        <v>4432</v>
      </c>
      <c r="G88" s="5" t="s">
        <v>5739</v>
      </c>
      <c r="H88" s="5" t="s">
        <v>362</v>
      </c>
      <c r="I88" s="5" t="s">
        <v>5880</v>
      </c>
      <c r="J88" s="5"/>
      <c r="K88" s="8"/>
      <c r="L88" s="8"/>
      <c r="M88" s="5"/>
      <c r="N88" s="5" t="s">
        <v>402</v>
      </c>
      <c r="O88" s="5" t="s">
        <v>5881</v>
      </c>
      <c r="P88" s="5" t="s">
        <v>5728</v>
      </c>
    </row>
    <row r="89" spans="1:16" ht="50.1" customHeight="1" x14ac:dyDescent="0.2">
      <c r="A89" s="5" t="s">
        <v>5882</v>
      </c>
      <c r="B89" s="5" t="s">
        <v>966</v>
      </c>
      <c r="C89" s="5" t="s">
        <v>969</v>
      </c>
      <c r="D89" s="5" t="s">
        <v>935</v>
      </c>
      <c r="E89" s="8">
        <v>6</v>
      </c>
      <c r="F89" s="5" t="s">
        <v>4433</v>
      </c>
      <c r="G89" s="5" t="s">
        <v>5735</v>
      </c>
      <c r="H89" s="5" t="s">
        <v>390</v>
      </c>
      <c r="I89" s="5"/>
      <c r="J89" s="5" t="s">
        <v>935</v>
      </c>
      <c r="K89" s="8">
        <v>0</v>
      </c>
      <c r="L89" s="8">
        <v>1</v>
      </c>
      <c r="M89" s="5"/>
      <c r="N89" s="5" t="s">
        <v>392</v>
      </c>
      <c r="O89" s="5" t="s">
        <v>5883</v>
      </c>
      <c r="P89" s="5" t="s">
        <v>5737</v>
      </c>
    </row>
    <row r="90" spans="1:16" ht="50.1" customHeight="1" x14ac:dyDescent="0.2">
      <c r="A90" s="5" t="s">
        <v>5884</v>
      </c>
      <c r="B90" s="5" t="s">
        <v>974</v>
      </c>
      <c r="C90" s="5" t="s">
        <v>977</v>
      </c>
      <c r="D90" s="5" t="s">
        <v>935</v>
      </c>
      <c r="E90" s="8">
        <v>7</v>
      </c>
      <c r="F90" s="5" t="s">
        <v>4434</v>
      </c>
      <c r="G90" s="5" t="s">
        <v>5769</v>
      </c>
      <c r="H90" s="5" t="s">
        <v>362</v>
      </c>
      <c r="I90" s="5" t="s">
        <v>5770</v>
      </c>
      <c r="J90" s="5"/>
      <c r="K90" s="8"/>
      <c r="L90" s="8"/>
      <c r="M90" s="5"/>
      <c r="N90" s="5" t="s">
        <v>514</v>
      </c>
      <c r="O90" s="5" t="s">
        <v>5885</v>
      </c>
      <c r="P90" s="5" t="s">
        <v>5728</v>
      </c>
    </row>
    <row r="91" spans="1:16" ht="50.1" customHeight="1" x14ac:dyDescent="0.2">
      <c r="A91" s="5" t="s">
        <v>5886</v>
      </c>
      <c r="B91" s="5" t="s">
        <v>981</v>
      </c>
      <c r="C91" s="5" t="s">
        <v>984</v>
      </c>
      <c r="D91" s="5" t="s">
        <v>935</v>
      </c>
      <c r="E91" s="8">
        <v>8</v>
      </c>
      <c r="F91" s="5" t="s">
        <v>4435</v>
      </c>
      <c r="G91" s="5" t="s">
        <v>5730</v>
      </c>
      <c r="H91" s="5" t="s">
        <v>362</v>
      </c>
      <c r="I91" s="5"/>
      <c r="J91" s="5"/>
      <c r="K91" s="8"/>
      <c r="L91" s="8"/>
      <c r="M91" s="5"/>
      <c r="N91" s="5" t="s">
        <v>364</v>
      </c>
      <c r="O91" s="5" t="s">
        <v>5887</v>
      </c>
      <c r="P91" s="5" t="s">
        <v>5728</v>
      </c>
    </row>
    <row r="92" spans="1:16" ht="50.1" customHeight="1" x14ac:dyDescent="0.2">
      <c r="A92" s="5" t="s">
        <v>5888</v>
      </c>
      <c r="B92" s="5" t="s">
        <v>989</v>
      </c>
      <c r="C92" s="5" t="s">
        <v>992</v>
      </c>
      <c r="D92" s="5" t="s">
        <v>935</v>
      </c>
      <c r="E92" s="8">
        <v>9</v>
      </c>
      <c r="F92" s="5" t="s">
        <v>4436</v>
      </c>
      <c r="G92" s="5" t="s">
        <v>5730</v>
      </c>
      <c r="H92" s="5" t="s">
        <v>362</v>
      </c>
      <c r="I92" s="5"/>
      <c r="J92" s="5"/>
      <c r="K92" s="8"/>
      <c r="L92" s="8"/>
      <c r="M92" s="5"/>
      <c r="N92" s="5" t="s">
        <v>364</v>
      </c>
      <c r="O92" s="5" t="s">
        <v>5889</v>
      </c>
      <c r="P92" s="5" t="s">
        <v>5728</v>
      </c>
    </row>
    <row r="93" spans="1:16" ht="50.1" customHeight="1" x14ac:dyDescent="0.2">
      <c r="A93" s="5" t="s">
        <v>5890</v>
      </c>
      <c r="B93" s="5" t="s">
        <v>997</v>
      </c>
      <c r="C93" s="5" t="s">
        <v>1000</v>
      </c>
      <c r="D93" s="5" t="s">
        <v>935</v>
      </c>
      <c r="E93" s="8">
        <v>10</v>
      </c>
      <c r="F93" s="5" t="s">
        <v>4437</v>
      </c>
      <c r="G93" s="5" t="s">
        <v>5739</v>
      </c>
      <c r="H93" s="5" t="s">
        <v>362</v>
      </c>
      <c r="I93" s="5" t="s">
        <v>5891</v>
      </c>
      <c r="J93" s="5"/>
      <c r="K93" s="8"/>
      <c r="L93" s="8"/>
      <c r="M93" s="5"/>
      <c r="N93" s="5" t="s">
        <v>402</v>
      </c>
      <c r="O93" s="5" t="s">
        <v>5892</v>
      </c>
      <c r="P93" s="5" t="s">
        <v>5728</v>
      </c>
    </row>
    <row r="94" spans="1:16" ht="50.1" customHeight="1" x14ac:dyDescent="0.2">
      <c r="A94" s="5" t="s">
        <v>5893</v>
      </c>
      <c r="B94" s="5" t="s">
        <v>1005</v>
      </c>
      <c r="C94" s="5" t="s">
        <v>1008</v>
      </c>
      <c r="D94" s="5" t="s">
        <v>935</v>
      </c>
      <c r="E94" s="8">
        <v>11</v>
      </c>
      <c r="F94" s="5" t="s">
        <v>4438</v>
      </c>
      <c r="G94" s="5" t="s">
        <v>5730</v>
      </c>
      <c r="H94" s="5" t="s">
        <v>362</v>
      </c>
      <c r="I94" s="5"/>
      <c r="J94" s="5"/>
      <c r="K94" s="8"/>
      <c r="L94" s="8"/>
      <c r="M94" s="5"/>
      <c r="N94" s="5" t="s">
        <v>364</v>
      </c>
      <c r="O94" s="5" t="s">
        <v>5894</v>
      </c>
      <c r="P94" s="5" t="s">
        <v>5728</v>
      </c>
    </row>
    <row r="95" spans="1:16" ht="50.1" customHeight="1" x14ac:dyDescent="0.2">
      <c r="A95" s="5" t="s">
        <v>47</v>
      </c>
      <c r="B95" s="5" t="s">
        <v>356</v>
      </c>
      <c r="C95" s="5" t="s">
        <v>1021</v>
      </c>
      <c r="D95" s="5" t="s">
        <v>1016</v>
      </c>
      <c r="E95" s="8">
        <v>1</v>
      </c>
      <c r="F95" s="5" t="s">
        <v>115</v>
      </c>
      <c r="G95" s="5" t="s">
        <v>2002</v>
      </c>
      <c r="H95" s="5" t="s">
        <v>362</v>
      </c>
      <c r="I95" s="5"/>
      <c r="J95" s="5"/>
      <c r="K95" s="8"/>
      <c r="L95" s="8"/>
      <c r="M95" s="5"/>
      <c r="N95" s="5" t="s">
        <v>364</v>
      </c>
      <c r="O95" s="5" t="s">
        <v>5895</v>
      </c>
      <c r="P95" s="5" t="s">
        <v>5728</v>
      </c>
    </row>
    <row r="96" spans="1:16" ht="50.1" customHeight="1" x14ac:dyDescent="0.2">
      <c r="A96" s="5" t="s">
        <v>5729</v>
      </c>
      <c r="B96" s="5" t="s">
        <v>368</v>
      </c>
      <c r="C96" s="5" t="s">
        <v>1026</v>
      </c>
      <c r="D96" s="5" t="s">
        <v>1016</v>
      </c>
      <c r="E96" s="8">
        <v>2</v>
      </c>
      <c r="F96" s="5" t="s">
        <v>116</v>
      </c>
      <c r="G96" s="5" t="s">
        <v>5730</v>
      </c>
      <c r="H96" s="5" t="s">
        <v>362</v>
      </c>
      <c r="I96" s="5"/>
      <c r="J96" s="5"/>
      <c r="K96" s="8"/>
      <c r="L96" s="8"/>
      <c r="M96" s="5"/>
      <c r="N96" s="5" t="s">
        <v>364</v>
      </c>
      <c r="O96" s="5" t="s">
        <v>5896</v>
      </c>
      <c r="P96" s="5" t="s">
        <v>5728</v>
      </c>
    </row>
    <row r="97" spans="1:16" ht="50.1" customHeight="1" x14ac:dyDescent="0.2">
      <c r="A97" s="5" t="s">
        <v>42</v>
      </c>
      <c r="B97" s="5" t="s">
        <v>376</v>
      </c>
      <c r="C97" s="5" t="s">
        <v>1031</v>
      </c>
      <c r="D97" s="5" t="s">
        <v>1016</v>
      </c>
      <c r="E97" s="8">
        <v>3</v>
      </c>
      <c r="F97" s="5" t="s">
        <v>117</v>
      </c>
      <c r="G97" s="5" t="s">
        <v>2002</v>
      </c>
      <c r="H97" s="5" t="s">
        <v>362</v>
      </c>
      <c r="I97" s="5"/>
      <c r="J97" s="5"/>
      <c r="K97" s="8"/>
      <c r="L97" s="8"/>
      <c r="M97" s="5"/>
      <c r="N97" s="5" t="s">
        <v>382</v>
      </c>
      <c r="O97" s="5" t="s">
        <v>5897</v>
      </c>
      <c r="P97" s="5" t="s">
        <v>5733</v>
      </c>
    </row>
    <row r="98" spans="1:16" ht="50.1" customHeight="1" x14ac:dyDescent="0.2">
      <c r="A98" s="5" t="s">
        <v>5766</v>
      </c>
      <c r="B98" s="5" t="s">
        <v>500</v>
      </c>
      <c r="C98" s="5" t="s">
        <v>1036</v>
      </c>
      <c r="D98" s="5" t="s">
        <v>1016</v>
      </c>
      <c r="E98" s="8">
        <v>4</v>
      </c>
      <c r="F98" s="5" t="s">
        <v>167</v>
      </c>
      <c r="G98" s="5" t="s">
        <v>5735</v>
      </c>
      <c r="H98" s="5" t="s">
        <v>362</v>
      </c>
      <c r="I98" s="5"/>
      <c r="J98" s="5" t="s">
        <v>767</v>
      </c>
      <c r="K98" s="8">
        <v>1</v>
      </c>
      <c r="L98" s="8">
        <v>1</v>
      </c>
      <c r="M98" s="5"/>
      <c r="N98" s="5" t="s">
        <v>392</v>
      </c>
      <c r="O98" s="5" t="s">
        <v>5898</v>
      </c>
      <c r="P98" s="5" t="s">
        <v>5737</v>
      </c>
    </row>
    <row r="99" spans="1:16" ht="50.1" customHeight="1" x14ac:dyDescent="0.2">
      <c r="A99" s="5" t="s">
        <v>5899</v>
      </c>
      <c r="B99" s="5" t="s">
        <v>1039</v>
      </c>
      <c r="C99" s="5" t="s">
        <v>1042</v>
      </c>
      <c r="D99" s="5" t="s">
        <v>1016</v>
      </c>
      <c r="E99" s="8">
        <v>5</v>
      </c>
      <c r="F99" s="5" t="s">
        <v>4487</v>
      </c>
      <c r="G99" s="5" t="s">
        <v>2002</v>
      </c>
      <c r="H99" s="5" t="s">
        <v>362</v>
      </c>
      <c r="I99" s="5"/>
      <c r="J99" s="5"/>
      <c r="K99" s="8"/>
      <c r="L99" s="8"/>
      <c r="M99" s="5"/>
      <c r="N99" s="5" t="s">
        <v>364</v>
      </c>
      <c r="O99" s="5" t="s">
        <v>5900</v>
      </c>
      <c r="P99" s="5" t="s">
        <v>5728</v>
      </c>
    </row>
    <row r="100" spans="1:16" ht="50.1" customHeight="1" x14ac:dyDescent="0.2">
      <c r="A100" s="5" t="s">
        <v>5901</v>
      </c>
      <c r="B100" s="5" t="s">
        <v>1047</v>
      </c>
      <c r="C100" s="5" t="s">
        <v>1050</v>
      </c>
      <c r="D100" s="5" t="s">
        <v>1016</v>
      </c>
      <c r="E100" s="8">
        <v>6</v>
      </c>
      <c r="F100" s="5" t="s">
        <v>4488</v>
      </c>
      <c r="G100" s="5" t="s">
        <v>5730</v>
      </c>
      <c r="H100" s="5" t="s">
        <v>362</v>
      </c>
      <c r="I100" s="5"/>
      <c r="J100" s="5"/>
      <c r="K100" s="8"/>
      <c r="L100" s="8"/>
      <c r="M100" s="5"/>
      <c r="N100" s="5" t="s">
        <v>364</v>
      </c>
      <c r="O100" s="5" t="s">
        <v>5902</v>
      </c>
      <c r="P100" s="5" t="s">
        <v>5728</v>
      </c>
    </row>
    <row r="101" spans="1:16" ht="50.1" customHeight="1" x14ac:dyDescent="0.2">
      <c r="A101" s="5" t="s">
        <v>5903</v>
      </c>
      <c r="B101" s="5" t="s">
        <v>1055</v>
      </c>
      <c r="C101" s="5" t="s">
        <v>1058</v>
      </c>
      <c r="D101" s="5" t="s">
        <v>1016</v>
      </c>
      <c r="E101" s="8">
        <v>7</v>
      </c>
      <c r="F101" s="5" t="s">
        <v>4489</v>
      </c>
      <c r="G101" s="5" t="s">
        <v>5730</v>
      </c>
      <c r="H101" s="5" t="s">
        <v>362</v>
      </c>
      <c r="I101" s="5"/>
      <c r="J101" s="5"/>
      <c r="K101" s="8"/>
      <c r="L101" s="8"/>
      <c r="M101" s="5"/>
      <c r="N101" s="5" t="s">
        <v>364</v>
      </c>
      <c r="O101" s="5" t="s">
        <v>5904</v>
      </c>
      <c r="P101" s="5" t="s">
        <v>5728</v>
      </c>
    </row>
    <row r="102" spans="1:16" ht="50.1" customHeight="1" x14ac:dyDescent="0.2">
      <c r="A102" s="5" t="s">
        <v>5905</v>
      </c>
      <c r="B102" s="5" t="s">
        <v>1063</v>
      </c>
      <c r="C102" s="5" t="s">
        <v>1066</v>
      </c>
      <c r="D102" s="5" t="s">
        <v>1016</v>
      </c>
      <c r="E102" s="8">
        <v>8</v>
      </c>
      <c r="F102" s="5" t="s">
        <v>4490</v>
      </c>
      <c r="G102" s="5" t="s">
        <v>5730</v>
      </c>
      <c r="H102" s="5" t="s">
        <v>362</v>
      </c>
      <c r="I102" s="5"/>
      <c r="J102" s="5"/>
      <c r="K102" s="8"/>
      <c r="L102" s="8"/>
      <c r="M102" s="5"/>
      <c r="N102" s="5" t="s">
        <v>364</v>
      </c>
      <c r="O102" s="5" t="s">
        <v>5906</v>
      </c>
      <c r="P102" s="5" t="s">
        <v>5728</v>
      </c>
    </row>
    <row r="103" spans="1:16" ht="50.1" customHeight="1" x14ac:dyDescent="0.2">
      <c r="A103" s="5" t="s">
        <v>5907</v>
      </c>
      <c r="B103" s="5" t="s">
        <v>1071</v>
      </c>
      <c r="C103" s="5" t="s">
        <v>1074</v>
      </c>
      <c r="D103" s="5" t="s">
        <v>1016</v>
      </c>
      <c r="E103" s="8">
        <v>9</v>
      </c>
      <c r="F103" s="5" t="s">
        <v>4491</v>
      </c>
      <c r="G103" s="5" t="s">
        <v>5730</v>
      </c>
      <c r="H103" s="5" t="s">
        <v>362</v>
      </c>
      <c r="I103" s="5"/>
      <c r="J103" s="5"/>
      <c r="K103" s="8"/>
      <c r="L103" s="8"/>
      <c r="M103" s="5"/>
      <c r="N103" s="5" t="s">
        <v>364</v>
      </c>
      <c r="O103" s="5" t="s">
        <v>5908</v>
      </c>
      <c r="P103" s="5" t="s">
        <v>5728</v>
      </c>
    </row>
    <row r="104" spans="1:16" ht="50.1" customHeight="1" x14ac:dyDescent="0.2">
      <c r="A104" s="5" t="s">
        <v>5909</v>
      </c>
      <c r="B104" s="5" t="s">
        <v>1079</v>
      </c>
      <c r="C104" s="5" t="s">
        <v>1082</v>
      </c>
      <c r="D104" s="5" t="s">
        <v>1016</v>
      </c>
      <c r="E104" s="8">
        <v>10</v>
      </c>
      <c r="F104" s="5" t="s">
        <v>4492</v>
      </c>
      <c r="G104" s="5" t="s">
        <v>5730</v>
      </c>
      <c r="H104" s="5" t="s">
        <v>362</v>
      </c>
      <c r="I104" s="5"/>
      <c r="J104" s="5"/>
      <c r="K104" s="8"/>
      <c r="L104" s="8"/>
      <c r="M104" s="5"/>
      <c r="N104" s="5" t="s">
        <v>364</v>
      </c>
      <c r="O104" s="5" t="s">
        <v>5910</v>
      </c>
      <c r="P104" s="5" t="s">
        <v>5728</v>
      </c>
    </row>
    <row r="105" spans="1:16" ht="50.1" customHeight="1" x14ac:dyDescent="0.2">
      <c r="A105" s="5" t="s">
        <v>5893</v>
      </c>
      <c r="B105" s="5" t="s">
        <v>1087</v>
      </c>
      <c r="C105" s="5" t="s">
        <v>1090</v>
      </c>
      <c r="D105" s="5" t="s">
        <v>1016</v>
      </c>
      <c r="E105" s="8">
        <v>11</v>
      </c>
      <c r="F105" s="5" t="s">
        <v>4438</v>
      </c>
      <c r="G105" s="5" t="s">
        <v>5730</v>
      </c>
      <c r="H105" s="5" t="s">
        <v>362</v>
      </c>
      <c r="I105" s="5"/>
      <c r="J105" s="5"/>
      <c r="K105" s="8"/>
      <c r="L105" s="8"/>
      <c r="M105" s="5"/>
      <c r="N105" s="5" t="s">
        <v>364</v>
      </c>
      <c r="O105" s="5" t="s">
        <v>5911</v>
      </c>
      <c r="P105" s="5" t="s">
        <v>5728</v>
      </c>
    </row>
    <row r="106" spans="1:16" ht="50.1" customHeight="1" x14ac:dyDescent="0.2">
      <c r="A106" s="5" t="s">
        <v>47</v>
      </c>
      <c r="B106" s="5" t="s">
        <v>356</v>
      </c>
      <c r="C106" s="5" t="s">
        <v>1101</v>
      </c>
      <c r="D106" s="5" t="s">
        <v>1097</v>
      </c>
      <c r="E106" s="8">
        <v>1</v>
      </c>
      <c r="F106" s="5" t="s">
        <v>115</v>
      </c>
      <c r="G106" s="5" t="s">
        <v>2002</v>
      </c>
      <c r="H106" s="5" t="s">
        <v>362</v>
      </c>
      <c r="I106" s="5"/>
      <c r="J106" s="5"/>
      <c r="K106" s="8"/>
      <c r="L106" s="8"/>
      <c r="M106" s="5"/>
      <c r="N106" s="5" t="s">
        <v>364</v>
      </c>
      <c r="O106" s="5" t="s">
        <v>5912</v>
      </c>
      <c r="P106" s="5" t="s">
        <v>5728</v>
      </c>
    </row>
    <row r="107" spans="1:16" ht="50.1" customHeight="1" x14ac:dyDescent="0.2">
      <c r="A107" s="5" t="s">
        <v>5729</v>
      </c>
      <c r="B107" s="5" t="s">
        <v>368</v>
      </c>
      <c r="C107" s="5" t="s">
        <v>1106</v>
      </c>
      <c r="D107" s="5" t="s">
        <v>1097</v>
      </c>
      <c r="E107" s="8">
        <v>2</v>
      </c>
      <c r="F107" s="5" t="s">
        <v>116</v>
      </c>
      <c r="G107" s="5" t="s">
        <v>5730</v>
      </c>
      <c r="H107" s="5" t="s">
        <v>362</v>
      </c>
      <c r="I107" s="5"/>
      <c r="J107" s="5"/>
      <c r="K107" s="8"/>
      <c r="L107" s="8"/>
      <c r="M107" s="5"/>
      <c r="N107" s="5" t="s">
        <v>364</v>
      </c>
      <c r="O107" s="5" t="s">
        <v>5913</v>
      </c>
      <c r="P107" s="5" t="s">
        <v>5728</v>
      </c>
    </row>
    <row r="108" spans="1:16" ht="50.1" customHeight="1" x14ac:dyDescent="0.2">
      <c r="A108" s="5" t="s">
        <v>42</v>
      </c>
      <c r="B108" s="5" t="s">
        <v>376</v>
      </c>
      <c r="C108" s="5" t="s">
        <v>1111</v>
      </c>
      <c r="D108" s="5" t="s">
        <v>1097</v>
      </c>
      <c r="E108" s="8">
        <v>3</v>
      </c>
      <c r="F108" s="5" t="s">
        <v>117</v>
      </c>
      <c r="G108" s="5" t="s">
        <v>2002</v>
      </c>
      <c r="H108" s="5" t="s">
        <v>362</v>
      </c>
      <c r="I108" s="5"/>
      <c r="J108" s="5"/>
      <c r="K108" s="8"/>
      <c r="L108" s="8"/>
      <c r="M108" s="5"/>
      <c r="N108" s="5" t="s">
        <v>382</v>
      </c>
      <c r="O108" s="5" t="s">
        <v>5914</v>
      </c>
      <c r="P108" s="5" t="s">
        <v>5733</v>
      </c>
    </row>
    <row r="109" spans="1:16" ht="50.1" customHeight="1" x14ac:dyDescent="0.2">
      <c r="A109" s="5" t="s">
        <v>5766</v>
      </c>
      <c r="B109" s="5" t="s">
        <v>500</v>
      </c>
      <c r="C109" s="5" t="s">
        <v>1116</v>
      </c>
      <c r="D109" s="5" t="s">
        <v>1097</v>
      </c>
      <c r="E109" s="8">
        <v>4</v>
      </c>
      <c r="F109" s="5" t="s">
        <v>167</v>
      </c>
      <c r="G109" s="5" t="s">
        <v>5735</v>
      </c>
      <c r="H109" s="5" t="s">
        <v>362</v>
      </c>
      <c r="I109" s="5"/>
      <c r="J109" s="5" t="s">
        <v>767</v>
      </c>
      <c r="K109" s="8">
        <v>1</v>
      </c>
      <c r="L109" s="8">
        <v>1</v>
      </c>
      <c r="M109" s="5"/>
      <c r="N109" s="5" t="s">
        <v>392</v>
      </c>
      <c r="O109" s="5" t="s">
        <v>5915</v>
      </c>
      <c r="P109" s="5" t="s">
        <v>5737</v>
      </c>
    </row>
    <row r="110" spans="1:16" ht="50.1" customHeight="1" x14ac:dyDescent="0.2">
      <c r="A110" s="5" t="s">
        <v>5916</v>
      </c>
      <c r="B110" s="5" t="s">
        <v>1119</v>
      </c>
      <c r="C110" s="5" t="s">
        <v>1122</v>
      </c>
      <c r="D110" s="5" t="s">
        <v>1097</v>
      </c>
      <c r="E110" s="8">
        <v>5</v>
      </c>
      <c r="F110" s="5" t="s">
        <v>4555</v>
      </c>
      <c r="G110" s="5" t="s">
        <v>2002</v>
      </c>
      <c r="H110" s="5" t="s">
        <v>362</v>
      </c>
      <c r="I110" s="5"/>
      <c r="J110" s="5"/>
      <c r="K110" s="8"/>
      <c r="L110" s="8"/>
      <c r="M110" s="5"/>
      <c r="N110" s="5" t="s">
        <v>364</v>
      </c>
      <c r="O110" s="5" t="s">
        <v>5917</v>
      </c>
      <c r="P110" s="5" t="s">
        <v>5728</v>
      </c>
    </row>
    <row r="111" spans="1:16" ht="50.1" customHeight="1" x14ac:dyDescent="0.2">
      <c r="A111" s="5" t="s">
        <v>5918</v>
      </c>
      <c r="B111" s="5" t="s">
        <v>1127</v>
      </c>
      <c r="C111" s="5" t="s">
        <v>1130</v>
      </c>
      <c r="D111" s="5" t="s">
        <v>1097</v>
      </c>
      <c r="E111" s="8">
        <v>6</v>
      </c>
      <c r="F111" s="5" t="s">
        <v>4556</v>
      </c>
      <c r="G111" s="5" t="s">
        <v>5739</v>
      </c>
      <c r="H111" s="5" t="s">
        <v>362</v>
      </c>
      <c r="I111" s="5" t="s">
        <v>5919</v>
      </c>
      <c r="J111" s="5"/>
      <c r="K111" s="8"/>
      <c r="L111" s="8"/>
      <c r="M111" s="5"/>
      <c r="N111" s="5" t="s">
        <v>402</v>
      </c>
      <c r="O111" s="5" t="s">
        <v>5920</v>
      </c>
      <c r="P111" s="5" t="s">
        <v>5728</v>
      </c>
    </row>
    <row r="112" spans="1:16" ht="50.1" customHeight="1" x14ac:dyDescent="0.2">
      <c r="A112" s="5" t="s">
        <v>5921</v>
      </c>
      <c r="B112" s="5" t="s">
        <v>1135</v>
      </c>
      <c r="C112" s="5" t="s">
        <v>1138</v>
      </c>
      <c r="D112" s="5" t="s">
        <v>1097</v>
      </c>
      <c r="E112" s="8">
        <v>7</v>
      </c>
      <c r="F112" s="5" t="s">
        <v>4557</v>
      </c>
      <c r="G112" s="5" t="s">
        <v>5730</v>
      </c>
      <c r="H112" s="5" t="s">
        <v>362</v>
      </c>
      <c r="I112" s="5"/>
      <c r="J112" s="5"/>
      <c r="K112" s="8"/>
      <c r="L112" s="8"/>
      <c r="M112" s="5"/>
      <c r="N112" s="5" t="s">
        <v>364</v>
      </c>
      <c r="O112" s="5" t="s">
        <v>5922</v>
      </c>
      <c r="P112" s="5" t="s">
        <v>5728</v>
      </c>
    </row>
    <row r="113" spans="1:16" ht="50.1" customHeight="1" x14ac:dyDescent="0.2">
      <c r="A113" s="5" t="s">
        <v>5923</v>
      </c>
      <c r="B113" s="5" t="s">
        <v>1143</v>
      </c>
      <c r="C113" s="5" t="s">
        <v>1146</v>
      </c>
      <c r="D113" s="5" t="s">
        <v>1097</v>
      </c>
      <c r="E113" s="8">
        <v>8</v>
      </c>
      <c r="F113" s="5" t="s">
        <v>4558</v>
      </c>
      <c r="G113" s="5" t="s">
        <v>5730</v>
      </c>
      <c r="H113" s="5" t="s">
        <v>362</v>
      </c>
      <c r="I113" s="5"/>
      <c r="J113" s="5"/>
      <c r="K113" s="8"/>
      <c r="L113" s="8"/>
      <c r="M113" s="5"/>
      <c r="N113" s="5" t="s">
        <v>364</v>
      </c>
      <c r="O113" s="5" t="s">
        <v>5924</v>
      </c>
      <c r="P113" s="5" t="s">
        <v>5728</v>
      </c>
    </row>
    <row r="114" spans="1:16" ht="50.1" customHeight="1" x14ac:dyDescent="0.2">
      <c r="A114" s="5" t="s">
        <v>5925</v>
      </c>
      <c r="B114" s="5" t="s">
        <v>1151</v>
      </c>
      <c r="C114" s="5" t="s">
        <v>1154</v>
      </c>
      <c r="D114" s="5" t="s">
        <v>1097</v>
      </c>
      <c r="E114" s="8">
        <v>9</v>
      </c>
      <c r="F114" s="5" t="s">
        <v>4559</v>
      </c>
      <c r="G114" s="5" t="s">
        <v>5730</v>
      </c>
      <c r="H114" s="5" t="s">
        <v>362</v>
      </c>
      <c r="I114" s="5"/>
      <c r="J114" s="5"/>
      <c r="K114" s="8"/>
      <c r="L114" s="8"/>
      <c r="M114" s="5"/>
      <c r="N114" s="5" t="s">
        <v>364</v>
      </c>
      <c r="O114" s="5" t="s">
        <v>5926</v>
      </c>
      <c r="P114" s="5" t="s">
        <v>5728</v>
      </c>
    </row>
    <row r="115" spans="1:16" ht="50.1" customHeight="1" x14ac:dyDescent="0.2">
      <c r="A115" s="5" t="s">
        <v>5927</v>
      </c>
      <c r="B115" s="5" t="s">
        <v>1159</v>
      </c>
      <c r="C115" s="5" t="s">
        <v>1162</v>
      </c>
      <c r="D115" s="5" t="s">
        <v>1097</v>
      </c>
      <c r="E115" s="8">
        <v>10</v>
      </c>
      <c r="F115" s="5" t="s">
        <v>4560</v>
      </c>
      <c r="G115" s="5" t="s">
        <v>5730</v>
      </c>
      <c r="H115" s="5" t="s">
        <v>362</v>
      </c>
      <c r="I115" s="5"/>
      <c r="J115" s="5"/>
      <c r="K115" s="8"/>
      <c r="L115" s="8"/>
      <c r="M115" s="5"/>
      <c r="N115" s="5" t="s">
        <v>364</v>
      </c>
      <c r="O115" s="5" t="s">
        <v>5928</v>
      </c>
      <c r="P115" s="5" t="s">
        <v>5728</v>
      </c>
    </row>
    <row r="116" spans="1:16" ht="50.1" customHeight="1" x14ac:dyDescent="0.2">
      <c r="A116" s="5" t="s">
        <v>5893</v>
      </c>
      <c r="B116" s="5" t="s">
        <v>1167</v>
      </c>
      <c r="C116" s="5" t="s">
        <v>1170</v>
      </c>
      <c r="D116" s="5" t="s">
        <v>1097</v>
      </c>
      <c r="E116" s="8">
        <v>11</v>
      </c>
      <c r="F116" s="5" t="s">
        <v>4438</v>
      </c>
      <c r="G116" s="5" t="s">
        <v>5730</v>
      </c>
      <c r="H116" s="5" t="s">
        <v>362</v>
      </c>
      <c r="I116" s="5"/>
      <c r="J116" s="5"/>
      <c r="K116" s="8"/>
      <c r="L116" s="8"/>
      <c r="M116" s="5"/>
      <c r="N116" s="5" t="s">
        <v>364</v>
      </c>
      <c r="O116" s="5" t="s">
        <v>5929</v>
      </c>
      <c r="P116" s="5" t="s">
        <v>5728</v>
      </c>
    </row>
    <row r="117" spans="1:16" ht="50.1" customHeight="1" x14ac:dyDescent="0.2">
      <c r="A117" s="5" t="s">
        <v>47</v>
      </c>
      <c r="B117" s="5" t="s">
        <v>356</v>
      </c>
      <c r="C117" s="5" t="s">
        <v>1181</v>
      </c>
      <c r="D117" s="5" t="s">
        <v>1177</v>
      </c>
      <c r="E117" s="8">
        <v>1</v>
      </c>
      <c r="F117" s="5" t="s">
        <v>115</v>
      </c>
      <c r="G117" s="5" t="s">
        <v>2002</v>
      </c>
      <c r="H117" s="5" t="s">
        <v>362</v>
      </c>
      <c r="I117" s="5"/>
      <c r="J117" s="5"/>
      <c r="K117" s="8"/>
      <c r="L117" s="8"/>
      <c r="M117" s="5"/>
      <c r="N117" s="5" t="s">
        <v>364</v>
      </c>
      <c r="O117" s="5" t="s">
        <v>5930</v>
      </c>
      <c r="P117" s="5" t="s">
        <v>5728</v>
      </c>
    </row>
    <row r="118" spans="1:16" ht="50.1" customHeight="1" x14ac:dyDescent="0.2">
      <c r="A118" s="5" t="s">
        <v>5729</v>
      </c>
      <c r="B118" s="5" t="s">
        <v>368</v>
      </c>
      <c r="C118" s="5" t="s">
        <v>1186</v>
      </c>
      <c r="D118" s="5" t="s">
        <v>1177</v>
      </c>
      <c r="E118" s="8">
        <v>2</v>
      </c>
      <c r="F118" s="5" t="s">
        <v>116</v>
      </c>
      <c r="G118" s="5" t="s">
        <v>5730</v>
      </c>
      <c r="H118" s="5" t="s">
        <v>362</v>
      </c>
      <c r="I118" s="5"/>
      <c r="J118" s="5"/>
      <c r="K118" s="8"/>
      <c r="L118" s="8"/>
      <c r="M118" s="5"/>
      <c r="N118" s="5" t="s">
        <v>364</v>
      </c>
      <c r="O118" s="5" t="s">
        <v>5931</v>
      </c>
      <c r="P118" s="5" t="s">
        <v>5728</v>
      </c>
    </row>
    <row r="119" spans="1:16" ht="50.1" customHeight="1" x14ac:dyDescent="0.2">
      <c r="A119" s="5" t="s">
        <v>42</v>
      </c>
      <c r="B119" s="5" t="s">
        <v>376</v>
      </c>
      <c r="C119" s="5" t="s">
        <v>1191</v>
      </c>
      <c r="D119" s="5" t="s">
        <v>1177</v>
      </c>
      <c r="E119" s="8">
        <v>3</v>
      </c>
      <c r="F119" s="5" t="s">
        <v>117</v>
      </c>
      <c r="G119" s="5" t="s">
        <v>2002</v>
      </c>
      <c r="H119" s="5" t="s">
        <v>362</v>
      </c>
      <c r="I119" s="5"/>
      <c r="J119" s="5"/>
      <c r="K119" s="8"/>
      <c r="L119" s="8"/>
      <c r="M119" s="5"/>
      <c r="N119" s="5" t="s">
        <v>382</v>
      </c>
      <c r="O119" s="5" t="s">
        <v>5932</v>
      </c>
      <c r="P119" s="5" t="s">
        <v>5733</v>
      </c>
    </row>
    <row r="120" spans="1:16" ht="50.1" customHeight="1" x14ac:dyDescent="0.2">
      <c r="A120" s="5" t="s">
        <v>5766</v>
      </c>
      <c r="B120" s="5" t="s">
        <v>500</v>
      </c>
      <c r="C120" s="5" t="s">
        <v>1196</v>
      </c>
      <c r="D120" s="5" t="s">
        <v>1177</v>
      </c>
      <c r="E120" s="8">
        <v>4</v>
      </c>
      <c r="F120" s="5" t="s">
        <v>167</v>
      </c>
      <c r="G120" s="5" t="s">
        <v>5735</v>
      </c>
      <c r="H120" s="5" t="s">
        <v>362</v>
      </c>
      <c r="I120" s="5"/>
      <c r="J120" s="5" t="s">
        <v>767</v>
      </c>
      <c r="K120" s="8">
        <v>1</v>
      </c>
      <c r="L120" s="8">
        <v>1</v>
      </c>
      <c r="M120" s="5"/>
      <c r="N120" s="5" t="s">
        <v>392</v>
      </c>
      <c r="O120" s="5" t="s">
        <v>5933</v>
      </c>
      <c r="P120" s="5" t="s">
        <v>5737</v>
      </c>
    </row>
    <row r="121" spans="1:16" ht="50.1" customHeight="1" x14ac:dyDescent="0.2">
      <c r="A121" s="5" t="s">
        <v>5934</v>
      </c>
      <c r="B121" s="5" t="s">
        <v>1199</v>
      </c>
      <c r="C121" s="5" t="s">
        <v>1202</v>
      </c>
      <c r="D121" s="5" t="s">
        <v>1177</v>
      </c>
      <c r="E121" s="8">
        <v>5</v>
      </c>
      <c r="F121" s="5" t="s">
        <v>4632</v>
      </c>
      <c r="G121" s="5" t="s">
        <v>5739</v>
      </c>
      <c r="H121" s="5" t="s">
        <v>362</v>
      </c>
      <c r="I121" s="5" t="s">
        <v>5935</v>
      </c>
      <c r="J121" s="5"/>
      <c r="K121" s="8"/>
      <c r="L121" s="8"/>
      <c r="M121" s="5"/>
      <c r="N121" s="5" t="s">
        <v>402</v>
      </c>
      <c r="O121" s="5" t="s">
        <v>5936</v>
      </c>
      <c r="P121" s="5" t="s">
        <v>5728</v>
      </c>
    </row>
    <row r="122" spans="1:16" ht="50.1" customHeight="1" x14ac:dyDescent="0.2">
      <c r="A122" s="5" t="s">
        <v>5937</v>
      </c>
      <c r="B122" s="5" t="s">
        <v>1207</v>
      </c>
      <c r="C122" s="5" t="s">
        <v>1210</v>
      </c>
      <c r="D122" s="5" t="s">
        <v>1177</v>
      </c>
      <c r="E122" s="8">
        <v>6</v>
      </c>
      <c r="F122" s="5" t="s">
        <v>4633</v>
      </c>
      <c r="G122" s="5" t="s">
        <v>2002</v>
      </c>
      <c r="H122" s="5" t="s">
        <v>390</v>
      </c>
      <c r="I122" s="5"/>
      <c r="J122" s="5"/>
      <c r="K122" s="8"/>
      <c r="L122" s="8"/>
      <c r="M122" s="5"/>
      <c r="N122" s="5" t="s">
        <v>364</v>
      </c>
      <c r="O122" s="5" t="s">
        <v>5938</v>
      </c>
      <c r="P122" s="5" t="s">
        <v>5728</v>
      </c>
    </row>
    <row r="123" spans="1:16" ht="50.1" customHeight="1" x14ac:dyDescent="0.2">
      <c r="A123" s="5" t="s">
        <v>5939</v>
      </c>
      <c r="B123" s="5" t="s">
        <v>1215</v>
      </c>
      <c r="C123" s="5" t="s">
        <v>1218</v>
      </c>
      <c r="D123" s="5" t="s">
        <v>1177</v>
      </c>
      <c r="E123" s="8">
        <v>7</v>
      </c>
      <c r="F123" s="5" t="s">
        <v>4634</v>
      </c>
      <c r="G123" s="5" t="s">
        <v>5864</v>
      </c>
      <c r="H123" s="5" t="s">
        <v>390</v>
      </c>
      <c r="I123" s="5"/>
      <c r="J123" s="5"/>
      <c r="K123" s="8"/>
      <c r="L123" s="8"/>
      <c r="M123" s="5"/>
      <c r="N123" s="5" t="s">
        <v>364</v>
      </c>
      <c r="O123" s="5" t="s">
        <v>5940</v>
      </c>
      <c r="P123" s="5" t="s">
        <v>5728</v>
      </c>
    </row>
    <row r="124" spans="1:16" ht="50.1" customHeight="1" x14ac:dyDescent="0.2">
      <c r="A124" s="5" t="s">
        <v>5941</v>
      </c>
      <c r="B124" s="5" t="s">
        <v>1223</v>
      </c>
      <c r="C124" s="5" t="s">
        <v>1226</v>
      </c>
      <c r="D124" s="5" t="s">
        <v>1177</v>
      </c>
      <c r="E124" s="8">
        <v>8</v>
      </c>
      <c r="F124" s="5" t="s">
        <v>4635</v>
      </c>
      <c r="G124" s="5" t="s">
        <v>2002</v>
      </c>
      <c r="H124" s="5" t="s">
        <v>362</v>
      </c>
      <c r="I124" s="5"/>
      <c r="J124" s="5"/>
      <c r="K124" s="8"/>
      <c r="L124" s="8"/>
      <c r="M124" s="5"/>
      <c r="N124" s="5" t="s">
        <v>364</v>
      </c>
      <c r="O124" s="5" t="s">
        <v>5942</v>
      </c>
      <c r="P124" s="5" t="s">
        <v>5728</v>
      </c>
    </row>
    <row r="125" spans="1:16" ht="50.1" customHeight="1" x14ac:dyDescent="0.2">
      <c r="A125" s="5" t="s">
        <v>5943</v>
      </c>
      <c r="B125" s="5" t="s">
        <v>1231</v>
      </c>
      <c r="C125" s="5" t="s">
        <v>1234</v>
      </c>
      <c r="D125" s="5" t="s">
        <v>1177</v>
      </c>
      <c r="E125" s="8">
        <v>9</v>
      </c>
      <c r="F125" s="5" t="s">
        <v>4636</v>
      </c>
      <c r="G125" s="5" t="s">
        <v>2002</v>
      </c>
      <c r="H125" s="5" t="s">
        <v>362</v>
      </c>
      <c r="I125" s="5"/>
      <c r="J125" s="5"/>
      <c r="K125" s="8"/>
      <c r="L125" s="8"/>
      <c r="M125" s="5"/>
      <c r="N125" s="5" t="s">
        <v>364</v>
      </c>
      <c r="O125" s="5" t="s">
        <v>5944</v>
      </c>
      <c r="P125" s="5" t="s">
        <v>5728</v>
      </c>
    </row>
    <row r="126" spans="1:16" ht="50.1" customHeight="1" x14ac:dyDescent="0.2">
      <c r="A126" s="5" t="s">
        <v>5945</v>
      </c>
      <c r="B126" s="5" t="s">
        <v>1239</v>
      </c>
      <c r="C126" s="5" t="s">
        <v>1242</v>
      </c>
      <c r="D126" s="5" t="s">
        <v>1177</v>
      </c>
      <c r="E126" s="8">
        <v>10</v>
      </c>
      <c r="F126" s="5" t="s">
        <v>4637</v>
      </c>
      <c r="G126" s="5" t="s">
        <v>5769</v>
      </c>
      <c r="H126" s="5" t="s">
        <v>362</v>
      </c>
      <c r="I126" s="5" t="s">
        <v>5770</v>
      </c>
      <c r="J126" s="5"/>
      <c r="K126" s="8"/>
      <c r="L126" s="8"/>
      <c r="M126" s="5"/>
      <c r="N126" s="5" t="s">
        <v>514</v>
      </c>
      <c r="O126" s="5" t="s">
        <v>5946</v>
      </c>
      <c r="P126" s="5" t="s">
        <v>5728</v>
      </c>
    </row>
    <row r="127" spans="1:16" ht="50.1" customHeight="1" x14ac:dyDescent="0.2">
      <c r="A127" s="5" t="s">
        <v>5868</v>
      </c>
      <c r="B127" s="5" t="s">
        <v>1246</v>
      </c>
      <c r="C127" s="5" t="s">
        <v>1249</v>
      </c>
      <c r="D127" s="5" t="s">
        <v>1177</v>
      </c>
      <c r="E127" s="8">
        <v>11</v>
      </c>
      <c r="F127" s="5" t="s">
        <v>4638</v>
      </c>
      <c r="G127" s="5" t="s">
        <v>5730</v>
      </c>
      <c r="H127" s="5" t="s">
        <v>362</v>
      </c>
      <c r="I127" s="5"/>
      <c r="J127" s="5"/>
      <c r="K127" s="8"/>
      <c r="L127" s="8"/>
      <c r="M127" s="5"/>
      <c r="N127" s="5" t="s">
        <v>364</v>
      </c>
      <c r="O127" s="5" t="s">
        <v>5947</v>
      </c>
      <c r="P127" s="5" t="s">
        <v>5728</v>
      </c>
    </row>
    <row r="128" spans="1:16" ht="50.1" customHeight="1" x14ac:dyDescent="0.2">
      <c r="A128" s="5" t="s">
        <v>5948</v>
      </c>
      <c r="B128" s="5" t="s">
        <v>1253</v>
      </c>
      <c r="C128" s="5" t="s">
        <v>1256</v>
      </c>
      <c r="D128" s="5" t="s">
        <v>1177</v>
      </c>
      <c r="E128" s="8">
        <v>12</v>
      </c>
      <c r="F128" s="5" t="s">
        <v>4639</v>
      </c>
      <c r="G128" s="5" t="s">
        <v>5730</v>
      </c>
      <c r="H128" s="5" t="s">
        <v>362</v>
      </c>
      <c r="I128" s="5"/>
      <c r="J128" s="5"/>
      <c r="K128" s="8"/>
      <c r="L128" s="8"/>
      <c r="M128" s="5"/>
      <c r="N128" s="5" t="s">
        <v>364</v>
      </c>
      <c r="O128" s="5" t="s">
        <v>5949</v>
      </c>
      <c r="P128" s="5" t="s">
        <v>5728</v>
      </c>
    </row>
    <row r="129" spans="1:16" ht="72" customHeight="1" x14ac:dyDescent="0.2">
      <c r="A129" s="5" t="s">
        <v>5950</v>
      </c>
      <c r="B129" s="5" t="s">
        <v>1261</v>
      </c>
      <c r="C129" s="5" t="s">
        <v>1264</v>
      </c>
      <c r="D129" s="5" t="s">
        <v>1177</v>
      </c>
      <c r="E129" s="8">
        <v>13</v>
      </c>
      <c r="F129" s="5" t="s">
        <v>4640</v>
      </c>
      <c r="G129" s="5" t="s">
        <v>5739</v>
      </c>
      <c r="H129" s="5" t="s">
        <v>362</v>
      </c>
      <c r="I129" s="5" t="s">
        <v>5951</v>
      </c>
      <c r="J129" s="5"/>
      <c r="K129" s="8"/>
      <c r="L129" s="8"/>
      <c r="M129" s="5"/>
      <c r="N129" s="5" t="s">
        <v>402</v>
      </c>
      <c r="O129" s="5" t="s">
        <v>5952</v>
      </c>
      <c r="P129" s="5" t="s">
        <v>5728</v>
      </c>
    </row>
    <row r="130" spans="1:16" ht="50.1" customHeight="1" x14ac:dyDescent="0.2">
      <c r="A130" s="5" t="s">
        <v>47</v>
      </c>
      <c r="B130" s="5" t="s">
        <v>356</v>
      </c>
      <c r="C130" s="5" t="s">
        <v>1277</v>
      </c>
      <c r="D130" s="5" t="s">
        <v>1272</v>
      </c>
      <c r="E130" s="8">
        <v>1</v>
      </c>
      <c r="F130" s="5" t="s">
        <v>115</v>
      </c>
      <c r="G130" s="5" t="s">
        <v>2002</v>
      </c>
      <c r="H130" s="5" t="s">
        <v>362</v>
      </c>
      <c r="I130" s="5"/>
      <c r="J130" s="5"/>
      <c r="K130" s="8"/>
      <c r="L130" s="8"/>
      <c r="M130" s="5"/>
      <c r="N130" s="5" t="s">
        <v>364</v>
      </c>
      <c r="O130" s="5" t="s">
        <v>5953</v>
      </c>
      <c r="P130" s="5" t="s">
        <v>5728</v>
      </c>
    </row>
    <row r="131" spans="1:16" ht="50.1" customHeight="1" x14ac:dyDescent="0.2">
      <c r="A131" s="5" t="s">
        <v>5729</v>
      </c>
      <c r="B131" s="5" t="s">
        <v>368</v>
      </c>
      <c r="C131" s="5" t="s">
        <v>1282</v>
      </c>
      <c r="D131" s="5" t="s">
        <v>1272</v>
      </c>
      <c r="E131" s="8">
        <v>2</v>
      </c>
      <c r="F131" s="5" t="s">
        <v>116</v>
      </c>
      <c r="G131" s="5" t="s">
        <v>5730</v>
      </c>
      <c r="H131" s="5" t="s">
        <v>362</v>
      </c>
      <c r="I131" s="5"/>
      <c r="J131" s="5"/>
      <c r="K131" s="8"/>
      <c r="L131" s="8"/>
      <c r="M131" s="5"/>
      <c r="N131" s="5" t="s">
        <v>364</v>
      </c>
      <c r="O131" s="5" t="s">
        <v>5954</v>
      </c>
      <c r="P131" s="5" t="s">
        <v>5728</v>
      </c>
    </row>
    <row r="132" spans="1:16" ht="50.1" customHeight="1" x14ac:dyDescent="0.2">
      <c r="A132" s="5" t="s">
        <v>42</v>
      </c>
      <c r="B132" s="5" t="s">
        <v>376</v>
      </c>
      <c r="C132" s="5" t="s">
        <v>1287</v>
      </c>
      <c r="D132" s="5" t="s">
        <v>1272</v>
      </c>
      <c r="E132" s="8">
        <v>3</v>
      </c>
      <c r="F132" s="5" t="s">
        <v>117</v>
      </c>
      <c r="G132" s="5" t="s">
        <v>2002</v>
      </c>
      <c r="H132" s="5" t="s">
        <v>362</v>
      </c>
      <c r="I132" s="5"/>
      <c r="J132" s="5"/>
      <c r="K132" s="8"/>
      <c r="L132" s="8"/>
      <c r="M132" s="5"/>
      <c r="N132" s="5" t="s">
        <v>382</v>
      </c>
      <c r="O132" s="5" t="s">
        <v>5955</v>
      </c>
      <c r="P132" s="5" t="s">
        <v>5733</v>
      </c>
    </row>
    <row r="133" spans="1:16" ht="50.1" customHeight="1" x14ac:dyDescent="0.2">
      <c r="A133" s="5" t="s">
        <v>5766</v>
      </c>
      <c r="B133" s="5" t="s">
        <v>500</v>
      </c>
      <c r="C133" s="5" t="s">
        <v>1292</v>
      </c>
      <c r="D133" s="5" t="s">
        <v>1272</v>
      </c>
      <c r="E133" s="8">
        <v>4</v>
      </c>
      <c r="F133" s="5" t="s">
        <v>167</v>
      </c>
      <c r="G133" s="5" t="s">
        <v>5735</v>
      </c>
      <c r="H133" s="5" t="s">
        <v>362</v>
      </c>
      <c r="I133" s="5"/>
      <c r="J133" s="5" t="s">
        <v>767</v>
      </c>
      <c r="K133" s="8">
        <v>1</v>
      </c>
      <c r="L133" s="8">
        <v>1</v>
      </c>
      <c r="M133" s="5"/>
      <c r="N133" s="5" t="s">
        <v>392</v>
      </c>
      <c r="O133" s="5" t="s">
        <v>5956</v>
      </c>
      <c r="P133" s="5" t="s">
        <v>5737</v>
      </c>
    </row>
    <row r="134" spans="1:16" ht="50.1" customHeight="1" x14ac:dyDescent="0.2">
      <c r="A134" s="5" t="s">
        <v>5957</v>
      </c>
      <c r="B134" s="5" t="s">
        <v>1295</v>
      </c>
      <c r="C134" s="5" t="s">
        <v>1298</v>
      </c>
      <c r="D134" s="5" t="s">
        <v>1272</v>
      </c>
      <c r="E134" s="8">
        <v>5</v>
      </c>
      <c r="F134" s="5" t="s">
        <v>4813</v>
      </c>
      <c r="G134" s="5" t="s">
        <v>5735</v>
      </c>
      <c r="H134" s="5" t="s">
        <v>362</v>
      </c>
      <c r="I134" s="5"/>
      <c r="J134" s="5" t="s">
        <v>1016</v>
      </c>
      <c r="K134" s="8">
        <v>1</v>
      </c>
      <c r="L134" s="8">
        <v>1</v>
      </c>
      <c r="M134" s="5"/>
      <c r="N134" s="5" t="s">
        <v>392</v>
      </c>
      <c r="O134" s="5" t="s">
        <v>5958</v>
      </c>
      <c r="P134" s="5" t="s">
        <v>5737</v>
      </c>
    </row>
    <row r="135" spans="1:16" ht="50.1" customHeight="1" x14ac:dyDescent="0.2">
      <c r="A135" s="5" t="s">
        <v>5959</v>
      </c>
      <c r="B135" s="5" t="s">
        <v>420</v>
      </c>
      <c r="C135" s="5" t="s">
        <v>1305</v>
      </c>
      <c r="D135" s="5" t="s">
        <v>1272</v>
      </c>
      <c r="E135" s="8">
        <v>6</v>
      </c>
      <c r="F135" s="5" t="s">
        <v>4814</v>
      </c>
      <c r="G135" s="5" t="s">
        <v>5735</v>
      </c>
      <c r="H135" s="5" t="s">
        <v>362</v>
      </c>
      <c r="I135" s="5"/>
      <c r="J135" s="5" t="s">
        <v>1177</v>
      </c>
      <c r="K135" s="8">
        <v>1</v>
      </c>
      <c r="L135" s="8">
        <v>1</v>
      </c>
      <c r="M135" s="5"/>
      <c r="N135" s="5" t="s">
        <v>392</v>
      </c>
      <c r="O135" s="5" t="s">
        <v>5960</v>
      </c>
      <c r="P135" s="5" t="s">
        <v>5737</v>
      </c>
    </row>
    <row r="136" spans="1:16" ht="50.1" customHeight="1" x14ac:dyDescent="0.2">
      <c r="A136" s="5" t="s">
        <v>5961</v>
      </c>
      <c r="B136" s="5" t="s">
        <v>1308</v>
      </c>
      <c r="C136" s="5" t="s">
        <v>1311</v>
      </c>
      <c r="D136" s="5" t="s">
        <v>1272</v>
      </c>
      <c r="E136" s="8">
        <v>7</v>
      </c>
      <c r="F136" s="5" t="s">
        <v>4815</v>
      </c>
      <c r="G136" s="5" t="s">
        <v>5784</v>
      </c>
      <c r="H136" s="5" t="s">
        <v>390</v>
      </c>
      <c r="I136" s="5" t="s">
        <v>5785</v>
      </c>
      <c r="J136" s="5" t="s">
        <v>1177</v>
      </c>
      <c r="K136" s="8">
        <v>0</v>
      </c>
      <c r="L136" s="8"/>
      <c r="M136" s="5"/>
      <c r="N136" s="5" t="s">
        <v>571</v>
      </c>
      <c r="O136" s="5" t="s">
        <v>5962</v>
      </c>
      <c r="P136" s="5" t="s">
        <v>5737</v>
      </c>
    </row>
    <row r="137" spans="1:16" ht="50.1" customHeight="1" x14ac:dyDescent="0.2">
      <c r="A137" s="5" t="s">
        <v>5963</v>
      </c>
      <c r="B137" s="5" t="s">
        <v>1315</v>
      </c>
      <c r="C137" s="5" t="s">
        <v>1318</v>
      </c>
      <c r="D137" s="5" t="s">
        <v>1272</v>
      </c>
      <c r="E137" s="8">
        <v>8</v>
      </c>
      <c r="F137" s="5" t="s">
        <v>4816</v>
      </c>
      <c r="G137" s="5" t="s">
        <v>5784</v>
      </c>
      <c r="H137" s="5" t="s">
        <v>390</v>
      </c>
      <c r="I137" s="5" t="s">
        <v>5785</v>
      </c>
      <c r="J137" s="5" t="s">
        <v>2244</v>
      </c>
      <c r="K137" s="8">
        <v>0</v>
      </c>
      <c r="L137" s="8"/>
      <c r="M137" s="5"/>
      <c r="N137" s="5" t="s">
        <v>571</v>
      </c>
      <c r="O137" s="5" t="s">
        <v>5964</v>
      </c>
      <c r="P137" s="5" t="s">
        <v>5737</v>
      </c>
    </row>
    <row r="138" spans="1:16" ht="50.1" customHeight="1" x14ac:dyDescent="0.2">
      <c r="A138" s="5" t="s">
        <v>5965</v>
      </c>
      <c r="B138" s="5" t="s">
        <v>1323</v>
      </c>
      <c r="C138" s="5" t="s">
        <v>1326</v>
      </c>
      <c r="D138" s="5" t="s">
        <v>1272</v>
      </c>
      <c r="E138" s="8">
        <v>9</v>
      </c>
      <c r="F138" s="5" t="s">
        <v>4817</v>
      </c>
      <c r="G138" s="5" t="s">
        <v>5730</v>
      </c>
      <c r="H138" s="5" t="s">
        <v>362</v>
      </c>
      <c r="I138" s="5"/>
      <c r="J138" s="5"/>
      <c r="K138" s="8"/>
      <c r="L138" s="8"/>
      <c r="M138" s="5"/>
      <c r="N138" s="5" t="s">
        <v>364</v>
      </c>
      <c r="O138" s="5" t="s">
        <v>5966</v>
      </c>
      <c r="P138" s="5" t="s">
        <v>5728</v>
      </c>
    </row>
    <row r="139" spans="1:16" ht="50.1" customHeight="1" x14ac:dyDescent="0.2">
      <c r="A139" s="5" t="s">
        <v>5967</v>
      </c>
      <c r="B139" s="5" t="s">
        <v>1331</v>
      </c>
      <c r="C139" s="5" t="s">
        <v>1334</v>
      </c>
      <c r="D139" s="5" t="s">
        <v>1272</v>
      </c>
      <c r="E139" s="8">
        <v>10</v>
      </c>
      <c r="F139" s="5" t="s">
        <v>4818</v>
      </c>
      <c r="G139" s="5" t="s">
        <v>5730</v>
      </c>
      <c r="H139" s="5" t="s">
        <v>362</v>
      </c>
      <c r="I139" s="5"/>
      <c r="J139" s="5"/>
      <c r="K139" s="8"/>
      <c r="L139" s="8"/>
      <c r="M139" s="5"/>
      <c r="N139" s="5" t="s">
        <v>364</v>
      </c>
      <c r="O139" s="5" t="s">
        <v>5968</v>
      </c>
      <c r="P139" s="5" t="s">
        <v>5728</v>
      </c>
    </row>
    <row r="140" spans="1:16" ht="50.1" customHeight="1" x14ac:dyDescent="0.2">
      <c r="A140" s="5" t="s">
        <v>5969</v>
      </c>
      <c r="B140" s="5" t="s">
        <v>1339</v>
      </c>
      <c r="C140" s="5" t="s">
        <v>1342</v>
      </c>
      <c r="D140" s="5" t="s">
        <v>1272</v>
      </c>
      <c r="E140" s="8">
        <v>11</v>
      </c>
      <c r="F140" s="5" t="s">
        <v>4819</v>
      </c>
      <c r="G140" s="5" t="s">
        <v>5730</v>
      </c>
      <c r="H140" s="5" t="s">
        <v>362</v>
      </c>
      <c r="I140" s="5"/>
      <c r="J140" s="5"/>
      <c r="K140" s="8"/>
      <c r="L140" s="8"/>
      <c r="M140" s="5"/>
      <c r="N140" s="5" t="s">
        <v>364</v>
      </c>
      <c r="O140" s="5" t="s">
        <v>5970</v>
      </c>
      <c r="P140" s="5" t="s">
        <v>5728</v>
      </c>
    </row>
    <row r="141" spans="1:16" ht="50.1" customHeight="1" x14ac:dyDescent="0.2">
      <c r="A141" s="5" t="s">
        <v>47</v>
      </c>
      <c r="B141" s="5" t="s">
        <v>356</v>
      </c>
      <c r="C141" s="5" t="s">
        <v>1355</v>
      </c>
      <c r="D141" s="5" t="s">
        <v>1350</v>
      </c>
      <c r="E141" s="8">
        <v>1</v>
      </c>
      <c r="F141" s="5" t="s">
        <v>115</v>
      </c>
      <c r="G141" s="5" t="s">
        <v>2002</v>
      </c>
      <c r="H141" s="5" t="s">
        <v>362</v>
      </c>
      <c r="I141" s="5"/>
      <c r="J141" s="5"/>
      <c r="K141" s="8"/>
      <c r="L141" s="8"/>
      <c r="M141" s="5"/>
      <c r="N141" s="5" t="s">
        <v>364</v>
      </c>
      <c r="O141" s="5" t="s">
        <v>5971</v>
      </c>
      <c r="P141" s="5" t="s">
        <v>5728</v>
      </c>
    </row>
    <row r="142" spans="1:16" ht="50.1" customHeight="1" x14ac:dyDescent="0.2">
      <c r="A142" s="5" t="s">
        <v>5729</v>
      </c>
      <c r="B142" s="5" t="s">
        <v>368</v>
      </c>
      <c r="C142" s="5" t="s">
        <v>1360</v>
      </c>
      <c r="D142" s="5" t="s">
        <v>1350</v>
      </c>
      <c r="E142" s="8">
        <v>2</v>
      </c>
      <c r="F142" s="5" t="s">
        <v>116</v>
      </c>
      <c r="G142" s="5" t="s">
        <v>5730</v>
      </c>
      <c r="H142" s="5" t="s">
        <v>362</v>
      </c>
      <c r="I142" s="5"/>
      <c r="J142" s="5"/>
      <c r="K142" s="8"/>
      <c r="L142" s="8"/>
      <c r="M142" s="5"/>
      <c r="N142" s="5" t="s">
        <v>364</v>
      </c>
      <c r="O142" s="5" t="s">
        <v>5972</v>
      </c>
      <c r="P142" s="5" t="s">
        <v>5728</v>
      </c>
    </row>
    <row r="143" spans="1:16" ht="50.1" customHeight="1" x14ac:dyDescent="0.2">
      <c r="A143" s="5" t="s">
        <v>42</v>
      </c>
      <c r="B143" s="5" t="s">
        <v>376</v>
      </c>
      <c r="C143" s="5" t="s">
        <v>1365</v>
      </c>
      <c r="D143" s="5" t="s">
        <v>1350</v>
      </c>
      <c r="E143" s="8">
        <v>3</v>
      </c>
      <c r="F143" s="5" t="s">
        <v>117</v>
      </c>
      <c r="G143" s="5" t="s">
        <v>2002</v>
      </c>
      <c r="H143" s="5" t="s">
        <v>362</v>
      </c>
      <c r="I143" s="5"/>
      <c r="J143" s="5"/>
      <c r="K143" s="8"/>
      <c r="L143" s="8"/>
      <c r="M143" s="5"/>
      <c r="N143" s="5" t="s">
        <v>382</v>
      </c>
      <c r="O143" s="5" t="s">
        <v>5973</v>
      </c>
      <c r="P143" s="5" t="s">
        <v>5733</v>
      </c>
    </row>
    <row r="144" spans="1:16" ht="50.1" customHeight="1" x14ac:dyDescent="0.2">
      <c r="A144" s="5" t="s">
        <v>5766</v>
      </c>
      <c r="B144" s="5" t="s">
        <v>500</v>
      </c>
      <c r="C144" s="5" t="s">
        <v>1370</v>
      </c>
      <c r="D144" s="5" t="s">
        <v>1350</v>
      </c>
      <c r="E144" s="8">
        <v>4</v>
      </c>
      <c r="F144" s="5" t="s">
        <v>167</v>
      </c>
      <c r="G144" s="5" t="s">
        <v>5735</v>
      </c>
      <c r="H144" s="5" t="s">
        <v>362</v>
      </c>
      <c r="I144" s="5"/>
      <c r="J144" s="5" t="s">
        <v>767</v>
      </c>
      <c r="K144" s="8">
        <v>1</v>
      </c>
      <c r="L144" s="8">
        <v>1</v>
      </c>
      <c r="M144" s="5"/>
      <c r="N144" s="5" t="s">
        <v>392</v>
      </c>
      <c r="O144" s="5" t="s">
        <v>5974</v>
      </c>
      <c r="P144" s="5" t="s">
        <v>5737</v>
      </c>
    </row>
    <row r="145" spans="1:16" ht="50.1" customHeight="1" x14ac:dyDescent="0.2">
      <c r="A145" s="5" t="s">
        <v>5975</v>
      </c>
      <c r="B145" s="5" t="s">
        <v>420</v>
      </c>
      <c r="C145" s="5" t="s">
        <v>1375</v>
      </c>
      <c r="D145" s="5" t="s">
        <v>1350</v>
      </c>
      <c r="E145" s="8">
        <v>5</v>
      </c>
      <c r="F145" s="5" t="s">
        <v>4891</v>
      </c>
      <c r="G145" s="5" t="s">
        <v>5735</v>
      </c>
      <c r="H145" s="5" t="s">
        <v>5976</v>
      </c>
      <c r="I145" s="5"/>
      <c r="J145" s="5" t="s">
        <v>1177</v>
      </c>
      <c r="K145" s="8">
        <v>0</v>
      </c>
      <c r="L145" s="8">
        <v>1</v>
      </c>
      <c r="M145" s="5"/>
      <c r="N145" s="5" t="s">
        <v>392</v>
      </c>
      <c r="O145" s="5" t="s">
        <v>5977</v>
      </c>
      <c r="P145" s="5" t="s">
        <v>5737</v>
      </c>
    </row>
    <row r="146" spans="1:16" ht="50.1" customHeight="1" x14ac:dyDescent="0.2">
      <c r="A146" s="5" t="s">
        <v>5978</v>
      </c>
      <c r="B146" s="5" t="s">
        <v>1378</v>
      </c>
      <c r="C146" s="5" t="s">
        <v>1381</v>
      </c>
      <c r="D146" s="5" t="s">
        <v>1350</v>
      </c>
      <c r="E146" s="8">
        <v>6</v>
      </c>
      <c r="F146" s="5" t="s">
        <v>4892</v>
      </c>
      <c r="G146" s="5" t="s">
        <v>5769</v>
      </c>
      <c r="H146" s="5" t="s">
        <v>362</v>
      </c>
      <c r="I146" s="5" t="s">
        <v>5770</v>
      </c>
      <c r="J146" s="5"/>
      <c r="K146" s="8"/>
      <c r="L146" s="8"/>
      <c r="M146" s="5"/>
      <c r="N146" s="5" t="s">
        <v>514</v>
      </c>
      <c r="O146" s="5" t="s">
        <v>5979</v>
      </c>
      <c r="P146" s="5" t="s">
        <v>5728</v>
      </c>
    </row>
    <row r="147" spans="1:16" ht="50.1" customHeight="1" x14ac:dyDescent="0.2">
      <c r="A147" s="5" t="s">
        <v>5980</v>
      </c>
      <c r="B147" s="5" t="s">
        <v>1385</v>
      </c>
      <c r="C147" s="5" t="s">
        <v>1388</v>
      </c>
      <c r="D147" s="5" t="s">
        <v>1350</v>
      </c>
      <c r="E147" s="8">
        <v>7</v>
      </c>
      <c r="F147" s="5" t="s">
        <v>4893</v>
      </c>
      <c r="G147" s="5" t="s">
        <v>5739</v>
      </c>
      <c r="H147" s="5" t="s">
        <v>362</v>
      </c>
      <c r="I147" s="5" t="s">
        <v>5981</v>
      </c>
      <c r="J147" s="5"/>
      <c r="K147" s="8"/>
      <c r="L147" s="8"/>
      <c r="M147" s="5"/>
      <c r="N147" s="5" t="s">
        <v>402</v>
      </c>
      <c r="O147" s="5" t="s">
        <v>5982</v>
      </c>
      <c r="P147" s="5" t="s">
        <v>5728</v>
      </c>
    </row>
    <row r="148" spans="1:16" ht="50.1" customHeight="1" x14ac:dyDescent="0.2">
      <c r="A148" s="5" t="s">
        <v>5983</v>
      </c>
      <c r="B148" s="5" t="s">
        <v>966</v>
      </c>
      <c r="C148" s="5" t="s">
        <v>1395</v>
      </c>
      <c r="D148" s="5" t="s">
        <v>1350</v>
      </c>
      <c r="E148" s="8">
        <v>8</v>
      </c>
      <c r="F148" s="5" t="s">
        <v>4894</v>
      </c>
      <c r="G148" s="5" t="s">
        <v>5735</v>
      </c>
      <c r="H148" s="5" t="s">
        <v>1397</v>
      </c>
      <c r="I148" s="5"/>
      <c r="J148" s="5" t="s">
        <v>935</v>
      </c>
      <c r="K148" s="8">
        <v>0</v>
      </c>
      <c r="L148" s="8">
        <v>1</v>
      </c>
      <c r="M148" s="5"/>
      <c r="N148" s="5" t="s">
        <v>392</v>
      </c>
      <c r="O148" s="5" t="s">
        <v>5984</v>
      </c>
      <c r="P148" s="5" t="s">
        <v>5737</v>
      </c>
    </row>
    <row r="149" spans="1:16" ht="50.1" customHeight="1" x14ac:dyDescent="0.2">
      <c r="A149" s="5" t="s">
        <v>5985</v>
      </c>
      <c r="B149" s="5" t="s">
        <v>1399</v>
      </c>
      <c r="C149" s="5" t="s">
        <v>1402</v>
      </c>
      <c r="D149" s="5" t="s">
        <v>1350</v>
      </c>
      <c r="E149" s="8">
        <v>9</v>
      </c>
      <c r="F149" s="5" t="s">
        <v>4895</v>
      </c>
      <c r="G149" s="5" t="s">
        <v>5735</v>
      </c>
      <c r="H149" s="5" t="s">
        <v>1404</v>
      </c>
      <c r="I149" s="5"/>
      <c r="J149" s="5" t="s">
        <v>1272</v>
      </c>
      <c r="K149" s="8">
        <v>0</v>
      </c>
      <c r="L149" s="8">
        <v>1</v>
      </c>
      <c r="M149" s="5"/>
      <c r="N149" s="5" t="s">
        <v>392</v>
      </c>
      <c r="O149" s="5" t="s">
        <v>5986</v>
      </c>
      <c r="P149" s="5" t="s">
        <v>5737</v>
      </c>
    </row>
    <row r="150" spans="1:16" ht="50.1" customHeight="1" x14ac:dyDescent="0.2">
      <c r="A150" s="5" t="s">
        <v>5987</v>
      </c>
      <c r="B150" s="5" t="s">
        <v>1408</v>
      </c>
      <c r="C150" s="5" t="s">
        <v>1411</v>
      </c>
      <c r="D150" s="5" t="s">
        <v>1350</v>
      </c>
      <c r="E150" s="8">
        <v>10</v>
      </c>
      <c r="F150" s="5" t="s">
        <v>4896</v>
      </c>
      <c r="G150" s="5" t="s">
        <v>2002</v>
      </c>
      <c r="H150" s="5" t="s">
        <v>362</v>
      </c>
      <c r="I150" s="5"/>
      <c r="J150" s="5"/>
      <c r="K150" s="8"/>
      <c r="L150" s="8"/>
      <c r="M150" s="5"/>
      <c r="N150" s="5" t="s">
        <v>364</v>
      </c>
      <c r="O150" s="5" t="s">
        <v>5988</v>
      </c>
      <c r="P150" s="5" t="s">
        <v>5728</v>
      </c>
    </row>
    <row r="151" spans="1:16" ht="57" customHeight="1" x14ac:dyDescent="0.2">
      <c r="A151" s="5" t="s">
        <v>5989</v>
      </c>
      <c r="B151" s="5" t="s">
        <v>1416</v>
      </c>
      <c r="C151" s="5" t="s">
        <v>1419</v>
      </c>
      <c r="D151" s="5" t="s">
        <v>1350</v>
      </c>
      <c r="E151" s="8">
        <v>11</v>
      </c>
      <c r="F151" s="5" t="s">
        <v>4897</v>
      </c>
      <c r="G151" s="5" t="s">
        <v>5730</v>
      </c>
      <c r="H151" s="5" t="s">
        <v>362</v>
      </c>
      <c r="I151" s="5"/>
      <c r="J151" s="5"/>
      <c r="K151" s="8"/>
      <c r="L151" s="8"/>
      <c r="M151" s="5"/>
      <c r="N151" s="5" t="s">
        <v>364</v>
      </c>
      <c r="O151" s="5" t="s">
        <v>5990</v>
      </c>
      <c r="P151" s="5" t="s">
        <v>5728</v>
      </c>
    </row>
    <row r="152" spans="1:16" ht="57" customHeight="1" x14ac:dyDescent="0.2">
      <c r="A152" s="5" t="s">
        <v>5991</v>
      </c>
      <c r="B152" s="5" t="s">
        <v>1424</v>
      </c>
      <c r="C152" s="5" t="s">
        <v>1427</v>
      </c>
      <c r="D152" s="5" t="s">
        <v>1350</v>
      </c>
      <c r="E152" s="8">
        <v>12</v>
      </c>
      <c r="F152" s="5" t="s">
        <v>4898</v>
      </c>
      <c r="G152" s="5" t="s">
        <v>2002</v>
      </c>
      <c r="H152" s="5" t="s">
        <v>390</v>
      </c>
      <c r="I152" s="5"/>
      <c r="J152" s="5"/>
      <c r="K152" s="8"/>
      <c r="L152" s="8"/>
      <c r="M152" s="5"/>
      <c r="N152" s="5" t="s">
        <v>364</v>
      </c>
      <c r="O152" s="5" t="s">
        <v>5992</v>
      </c>
      <c r="P152" s="5" t="s">
        <v>5728</v>
      </c>
    </row>
    <row r="153" spans="1:16" ht="57" customHeight="1" x14ac:dyDescent="0.2">
      <c r="A153" s="5" t="s">
        <v>5993</v>
      </c>
      <c r="B153" s="5" t="s">
        <v>1432</v>
      </c>
      <c r="C153" s="5" t="s">
        <v>1435</v>
      </c>
      <c r="D153" s="5" t="s">
        <v>1350</v>
      </c>
      <c r="E153" s="8">
        <v>13</v>
      </c>
      <c r="F153" s="5" t="s">
        <v>4899</v>
      </c>
      <c r="G153" s="5" t="s">
        <v>5735</v>
      </c>
      <c r="H153" s="5" t="s">
        <v>362</v>
      </c>
      <c r="I153" s="5"/>
      <c r="J153" s="5" t="s">
        <v>2374</v>
      </c>
      <c r="K153" s="8">
        <v>1</v>
      </c>
      <c r="L153" s="8">
        <v>1</v>
      </c>
      <c r="M153" s="5"/>
      <c r="N153" s="5" t="s">
        <v>392</v>
      </c>
      <c r="O153" s="5" t="s">
        <v>5994</v>
      </c>
      <c r="P153" s="5" t="s">
        <v>5737</v>
      </c>
    </row>
    <row r="154" spans="1:16" ht="72" customHeight="1" x14ac:dyDescent="0.2">
      <c r="A154" s="5" t="s">
        <v>5995</v>
      </c>
      <c r="B154" s="5" t="s">
        <v>1440</v>
      </c>
      <c r="C154" s="5" t="s">
        <v>1443</v>
      </c>
      <c r="D154" s="5" t="s">
        <v>1350</v>
      </c>
      <c r="E154" s="8">
        <v>14</v>
      </c>
      <c r="F154" s="5" t="s">
        <v>4900</v>
      </c>
      <c r="G154" s="5" t="s">
        <v>5739</v>
      </c>
      <c r="H154" s="5" t="s">
        <v>362</v>
      </c>
      <c r="I154" s="5" t="s">
        <v>5996</v>
      </c>
      <c r="J154" s="5"/>
      <c r="K154" s="8"/>
      <c r="L154" s="8"/>
      <c r="M154" s="5"/>
      <c r="N154" s="5" t="s">
        <v>402</v>
      </c>
      <c r="O154" s="5" t="s">
        <v>5997</v>
      </c>
      <c r="P154" s="5" t="s">
        <v>5728</v>
      </c>
    </row>
    <row r="155" spans="1:16" ht="50.1" customHeight="1" x14ac:dyDescent="0.2">
      <c r="A155" s="5" t="s">
        <v>5998</v>
      </c>
      <c r="B155" s="5" t="s">
        <v>1448</v>
      </c>
      <c r="C155" s="5" t="s">
        <v>1451</v>
      </c>
      <c r="D155" s="5" t="s">
        <v>1350</v>
      </c>
      <c r="E155" s="8">
        <v>15</v>
      </c>
      <c r="F155" s="5" t="s">
        <v>4901</v>
      </c>
      <c r="G155" s="5" t="s">
        <v>5735</v>
      </c>
      <c r="H155" s="5" t="s">
        <v>390</v>
      </c>
      <c r="I155" s="5"/>
      <c r="J155" s="5" t="s">
        <v>2501</v>
      </c>
      <c r="K155" s="8">
        <v>0</v>
      </c>
      <c r="L155" s="8">
        <v>1</v>
      </c>
      <c r="M155" s="5"/>
      <c r="N155" s="5" t="s">
        <v>392</v>
      </c>
      <c r="O155" s="5" t="s">
        <v>5999</v>
      </c>
      <c r="P155" s="5" t="s">
        <v>5737</v>
      </c>
    </row>
    <row r="156" spans="1:16" ht="50.1" customHeight="1" x14ac:dyDescent="0.2">
      <c r="A156" s="5" t="s">
        <v>47</v>
      </c>
      <c r="B156" s="5" t="s">
        <v>356</v>
      </c>
      <c r="C156" s="5" t="s">
        <v>1464</v>
      </c>
      <c r="D156" s="5" t="s">
        <v>1459</v>
      </c>
      <c r="E156" s="8">
        <v>1</v>
      </c>
      <c r="F156" s="5" t="s">
        <v>115</v>
      </c>
      <c r="G156" s="5" t="s">
        <v>2002</v>
      </c>
      <c r="H156" s="5" t="s">
        <v>362</v>
      </c>
      <c r="I156" s="5"/>
      <c r="J156" s="5"/>
      <c r="K156" s="8"/>
      <c r="L156" s="8"/>
      <c r="M156" s="5"/>
      <c r="N156" s="5" t="s">
        <v>364</v>
      </c>
      <c r="O156" s="5" t="s">
        <v>6000</v>
      </c>
      <c r="P156" s="5" t="s">
        <v>5728</v>
      </c>
    </row>
    <row r="157" spans="1:16" ht="50.1" customHeight="1" x14ac:dyDescent="0.2">
      <c r="A157" s="5" t="s">
        <v>5729</v>
      </c>
      <c r="B157" s="5" t="s">
        <v>368</v>
      </c>
      <c r="C157" s="5" t="s">
        <v>1469</v>
      </c>
      <c r="D157" s="5" t="s">
        <v>1459</v>
      </c>
      <c r="E157" s="8">
        <v>2</v>
      </c>
      <c r="F157" s="5" t="s">
        <v>116</v>
      </c>
      <c r="G157" s="5" t="s">
        <v>5730</v>
      </c>
      <c r="H157" s="5" t="s">
        <v>362</v>
      </c>
      <c r="I157" s="5"/>
      <c r="J157" s="5"/>
      <c r="K157" s="8"/>
      <c r="L157" s="8"/>
      <c r="M157" s="5"/>
      <c r="N157" s="5" t="s">
        <v>364</v>
      </c>
      <c r="O157" s="5" t="s">
        <v>6001</v>
      </c>
      <c r="P157" s="5" t="s">
        <v>5728</v>
      </c>
    </row>
    <row r="158" spans="1:16" ht="50.1" customHeight="1" x14ac:dyDescent="0.2">
      <c r="A158" s="5" t="s">
        <v>42</v>
      </c>
      <c r="B158" s="5" t="s">
        <v>376</v>
      </c>
      <c r="C158" s="5" t="s">
        <v>1474</v>
      </c>
      <c r="D158" s="5" t="s">
        <v>1459</v>
      </c>
      <c r="E158" s="8">
        <v>3</v>
      </c>
      <c r="F158" s="5" t="s">
        <v>117</v>
      </c>
      <c r="G158" s="5" t="s">
        <v>2002</v>
      </c>
      <c r="H158" s="5" t="s">
        <v>362</v>
      </c>
      <c r="I158" s="5"/>
      <c r="J158" s="5"/>
      <c r="K158" s="8"/>
      <c r="L158" s="8"/>
      <c r="M158" s="5"/>
      <c r="N158" s="5" t="s">
        <v>382</v>
      </c>
      <c r="O158" s="5" t="s">
        <v>6002</v>
      </c>
      <c r="P158" s="5" t="s">
        <v>5733</v>
      </c>
    </row>
    <row r="159" spans="1:16" ht="50.1" customHeight="1" x14ac:dyDescent="0.2">
      <c r="A159" s="5" t="s">
        <v>6003</v>
      </c>
      <c r="B159" s="5" t="s">
        <v>818</v>
      </c>
      <c r="C159" s="5" t="s">
        <v>1479</v>
      </c>
      <c r="D159" s="5" t="s">
        <v>1459</v>
      </c>
      <c r="E159" s="8">
        <v>4</v>
      </c>
      <c r="F159" s="5" t="s">
        <v>4930</v>
      </c>
      <c r="G159" s="5" t="s">
        <v>5735</v>
      </c>
      <c r="H159" s="5" t="s">
        <v>362</v>
      </c>
      <c r="I159" s="5"/>
      <c r="J159" s="5" t="s">
        <v>767</v>
      </c>
      <c r="K159" s="8">
        <v>1</v>
      </c>
      <c r="L159" s="8">
        <v>1</v>
      </c>
      <c r="M159" s="5"/>
      <c r="N159" s="5" t="s">
        <v>392</v>
      </c>
      <c r="O159" s="5" t="s">
        <v>6004</v>
      </c>
      <c r="P159" s="5" t="s">
        <v>5737</v>
      </c>
    </row>
    <row r="160" spans="1:16" ht="50.1" customHeight="1" x14ac:dyDescent="0.2">
      <c r="A160" s="5" t="s">
        <v>6005</v>
      </c>
      <c r="B160" s="5" t="s">
        <v>818</v>
      </c>
      <c r="C160" s="5" t="s">
        <v>1484</v>
      </c>
      <c r="D160" s="5" t="s">
        <v>1459</v>
      </c>
      <c r="E160" s="8">
        <v>5</v>
      </c>
      <c r="F160" s="5" t="s">
        <v>4931</v>
      </c>
      <c r="G160" s="5" t="s">
        <v>5735</v>
      </c>
      <c r="H160" s="5" t="s">
        <v>362</v>
      </c>
      <c r="I160" s="5"/>
      <c r="J160" s="5" t="s">
        <v>767</v>
      </c>
      <c r="K160" s="8">
        <v>1</v>
      </c>
      <c r="L160" s="8">
        <v>1</v>
      </c>
      <c r="M160" s="5"/>
      <c r="N160" s="5" t="s">
        <v>392</v>
      </c>
      <c r="O160" s="5" t="s">
        <v>6006</v>
      </c>
      <c r="P160" s="5" t="s">
        <v>5737</v>
      </c>
    </row>
    <row r="161" spans="1:16" ht="50.1" customHeight="1" x14ac:dyDescent="0.2">
      <c r="A161" s="5" t="s">
        <v>6007</v>
      </c>
      <c r="B161" s="5" t="s">
        <v>1487</v>
      </c>
      <c r="C161" s="5" t="s">
        <v>1490</v>
      </c>
      <c r="D161" s="5" t="s">
        <v>1459</v>
      </c>
      <c r="E161" s="8">
        <v>6</v>
      </c>
      <c r="F161" s="5" t="s">
        <v>4932</v>
      </c>
      <c r="G161" s="5" t="s">
        <v>5739</v>
      </c>
      <c r="H161" s="5" t="s">
        <v>362</v>
      </c>
      <c r="I161" s="5" t="s">
        <v>6008</v>
      </c>
      <c r="J161" s="5"/>
      <c r="K161" s="8"/>
      <c r="L161" s="8"/>
      <c r="M161" s="5"/>
      <c r="N161" s="5" t="s">
        <v>402</v>
      </c>
      <c r="O161" s="5" t="s">
        <v>6009</v>
      </c>
      <c r="P161" s="5" t="s">
        <v>5728</v>
      </c>
    </row>
    <row r="162" spans="1:16" ht="50.1" customHeight="1" x14ac:dyDescent="0.2">
      <c r="A162" s="5" t="s">
        <v>6010</v>
      </c>
      <c r="B162" s="5" t="s">
        <v>1495</v>
      </c>
      <c r="C162" s="5" t="s">
        <v>1498</v>
      </c>
      <c r="D162" s="5" t="s">
        <v>1459</v>
      </c>
      <c r="E162" s="8">
        <v>7</v>
      </c>
      <c r="F162" s="5" t="s">
        <v>4933</v>
      </c>
      <c r="G162" s="5" t="s">
        <v>5730</v>
      </c>
      <c r="H162" s="5" t="s">
        <v>362</v>
      </c>
      <c r="I162" s="5"/>
      <c r="J162" s="5"/>
      <c r="K162" s="8"/>
      <c r="L162" s="8"/>
      <c r="M162" s="5"/>
      <c r="N162" s="5" t="s">
        <v>364</v>
      </c>
      <c r="O162" s="5" t="s">
        <v>6011</v>
      </c>
      <c r="P162" s="5" t="s">
        <v>5728</v>
      </c>
    </row>
    <row r="163" spans="1:16" ht="50.1" customHeight="1" x14ac:dyDescent="0.2">
      <c r="A163" s="5" t="s">
        <v>6012</v>
      </c>
      <c r="B163" s="5" t="s">
        <v>1503</v>
      </c>
      <c r="C163" s="5" t="s">
        <v>1506</v>
      </c>
      <c r="D163" s="5" t="s">
        <v>1459</v>
      </c>
      <c r="E163" s="8">
        <v>8</v>
      </c>
      <c r="F163" s="5" t="s">
        <v>4934</v>
      </c>
      <c r="G163" s="5" t="s">
        <v>5730</v>
      </c>
      <c r="H163" s="5" t="s">
        <v>362</v>
      </c>
      <c r="I163" s="5"/>
      <c r="J163" s="5"/>
      <c r="K163" s="8"/>
      <c r="L163" s="8"/>
      <c r="M163" s="5"/>
      <c r="N163" s="5" t="s">
        <v>364</v>
      </c>
      <c r="O163" s="5" t="s">
        <v>6013</v>
      </c>
      <c r="P163" s="5" t="s">
        <v>5728</v>
      </c>
    </row>
    <row r="164" spans="1:16" ht="50.1" customHeight="1" x14ac:dyDescent="0.2">
      <c r="A164" s="5" t="s">
        <v>6014</v>
      </c>
      <c r="B164" s="5" t="s">
        <v>1511</v>
      </c>
      <c r="C164" s="5" t="s">
        <v>1514</v>
      </c>
      <c r="D164" s="5" t="s">
        <v>1459</v>
      </c>
      <c r="E164" s="8">
        <v>9</v>
      </c>
      <c r="F164" s="5" t="s">
        <v>4935</v>
      </c>
      <c r="G164" s="5" t="s">
        <v>5739</v>
      </c>
      <c r="H164" s="5" t="s">
        <v>362</v>
      </c>
      <c r="I164" s="5" t="s">
        <v>6015</v>
      </c>
      <c r="J164" s="5"/>
      <c r="K164" s="8"/>
      <c r="L164" s="8"/>
      <c r="M164" s="5"/>
      <c r="N164" s="5" t="s">
        <v>402</v>
      </c>
      <c r="O164" s="5" t="s">
        <v>6016</v>
      </c>
      <c r="P164" s="5" t="s">
        <v>5728</v>
      </c>
    </row>
    <row r="165" spans="1:16" ht="50.1" customHeight="1" x14ac:dyDescent="0.2">
      <c r="A165" s="5" t="s">
        <v>6017</v>
      </c>
      <c r="B165" s="5" t="s">
        <v>818</v>
      </c>
      <c r="C165" s="5" t="s">
        <v>1521</v>
      </c>
      <c r="D165" s="5" t="s">
        <v>1459</v>
      </c>
      <c r="E165" s="8">
        <v>10</v>
      </c>
      <c r="F165" s="5" t="s">
        <v>4936</v>
      </c>
      <c r="G165" s="5" t="s">
        <v>5735</v>
      </c>
      <c r="H165" s="5" t="s">
        <v>390</v>
      </c>
      <c r="I165" s="5"/>
      <c r="J165" s="5" t="s">
        <v>767</v>
      </c>
      <c r="K165" s="8">
        <v>0</v>
      </c>
      <c r="L165" s="8">
        <v>1</v>
      </c>
      <c r="M165" s="5"/>
      <c r="N165" s="5" t="s">
        <v>392</v>
      </c>
      <c r="O165" s="5" t="s">
        <v>6018</v>
      </c>
      <c r="P165" s="5" t="s">
        <v>5737</v>
      </c>
    </row>
    <row r="166" spans="1:16" ht="50.1" customHeight="1" x14ac:dyDescent="0.2">
      <c r="A166" s="5" t="s">
        <v>6019</v>
      </c>
      <c r="B166" s="5" t="s">
        <v>1524</v>
      </c>
      <c r="C166" s="5" t="s">
        <v>1527</v>
      </c>
      <c r="D166" s="5" t="s">
        <v>1459</v>
      </c>
      <c r="E166" s="8">
        <v>11</v>
      </c>
      <c r="F166" s="5" t="s">
        <v>4937</v>
      </c>
      <c r="G166" s="5" t="s">
        <v>5735</v>
      </c>
      <c r="H166" s="5" t="s">
        <v>390</v>
      </c>
      <c r="I166" s="5"/>
      <c r="J166" s="5" t="s">
        <v>1535</v>
      </c>
      <c r="K166" s="8">
        <v>0</v>
      </c>
      <c r="L166" s="8">
        <v>1</v>
      </c>
      <c r="M166" s="5"/>
      <c r="N166" s="5" t="s">
        <v>392</v>
      </c>
      <c r="O166" s="5" t="s">
        <v>6020</v>
      </c>
      <c r="P166" s="5" t="s">
        <v>5737</v>
      </c>
    </row>
    <row r="167" spans="1:16" ht="50.1" customHeight="1" x14ac:dyDescent="0.2">
      <c r="A167" s="5" t="s">
        <v>47</v>
      </c>
      <c r="B167" s="5" t="s">
        <v>356</v>
      </c>
      <c r="C167" s="5" t="s">
        <v>1540</v>
      </c>
      <c r="D167" s="5" t="s">
        <v>1535</v>
      </c>
      <c r="E167" s="8">
        <v>1</v>
      </c>
      <c r="F167" s="5" t="s">
        <v>115</v>
      </c>
      <c r="G167" s="5" t="s">
        <v>2002</v>
      </c>
      <c r="H167" s="5" t="s">
        <v>362</v>
      </c>
      <c r="I167" s="5"/>
      <c r="J167" s="5"/>
      <c r="K167" s="8"/>
      <c r="L167" s="8"/>
      <c r="M167" s="5"/>
      <c r="N167" s="5" t="s">
        <v>364</v>
      </c>
      <c r="O167" s="5" t="s">
        <v>6021</v>
      </c>
      <c r="P167" s="5" t="s">
        <v>5728</v>
      </c>
    </row>
    <row r="168" spans="1:16" ht="50.1" customHeight="1" x14ac:dyDescent="0.2">
      <c r="A168" s="5" t="s">
        <v>5729</v>
      </c>
      <c r="B168" s="5" t="s">
        <v>368</v>
      </c>
      <c r="C168" s="5" t="s">
        <v>1545</v>
      </c>
      <c r="D168" s="5" t="s">
        <v>1535</v>
      </c>
      <c r="E168" s="8">
        <v>2</v>
      </c>
      <c r="F168" s="5" t="s">
        <v>116</v>
      </c>
      <c r="G168" s="5" t="s">
        <v>5730</v>
      </c>
      <c r="H168" s="5" t="s">
        <v>362</v>
      </c>
      <c r="I168" s="5"/>
      <c r="J168" s="5"/>
      <c r="K168" s="8"/>
      <c r="L168" s="8"/>
      <c r="M168" s="5"/>
      <c r="N168" s="5" t="s">
        <v>364</v>
      </c>
      <c r="O168" s="5" t="s">
        <v>6022</v>
      </c>
      <c r="P168" s="5" t="s">
        <v>5728</v>
      </c>
    </row>
    <row r="169" spans="1:16" ht="50.1" customHeight="1" x14ac:dyDescent="0.2">
      <c r="A169" s="5" t="s">
        <v>42</v>
      </c>
      <c r="B169" s="5" t="s">
        <v>376</v>
      </c>
      <c r="C169" s="5" t="s">
        <v>1550</v>
      </c>
      <c r="D169" s="5" t="s">
        <v>1535</v>
      </c>
      <c r="E169" s="8">
        <v>3</v>
      </c>
      <c r="F169" s="5" t="s">
        <v>117</v>
      </c>
      <c r="G169" s="5" t="s">
        <v>2002</v>
      </c>
      <c r="H169" s="5" t="s">
        <v>362</v>
      </c>
      <c r="I169" s="5"/>
      <c r="J169" s="5"/>
      <c r="K169" s="8"/>
      <c r="L169" s="8"/>
      <c r="M169" s="5"/>
      <c r="N169" s="5" t="s">
        <v>382</v>
      </c>
      <c r="O169" s="5" t="s">
        <v>6023</v>
      </c>
      <c r="P169" s="5" t="s">
        <v>5733</v>
      </c>
    </row>
    <row r="170" spans="1:16" ht="50.1" customHeight="1" x14ac:dyDescent="0.2">
      <c r="A170" s="5" t="s">
        <v>6024</v>
      </c>
      <c r="B170" s="5" t="s">
        <v>818</v>
      </c>
      <c r="C170" s="5" t="s">
        <v>1555</v>
      </c>
      <c r="D170" s="5" t="s">
        <v>1535</v>
      </c>
      <c r="E170" s="8">
        <v>4</v>
      </c>
      <c r="F170" s="5" t="s">
        <v>5300</v>
      </c>
      <c r="G170" s="5" t="s">
        <v>5735</v>
      </c>
      <c r="H170" s="5" t="s">
        <v>362</v>
      </c>
      <c r="I170" s="5"/>
      <c r="J170" s="5" t="s">
        <v>767</v>
      </c>
      <c r="K170" s="8">
        <v>1</v>
      </c>
      <c r="L170" s="8">
        <v>1</v>
      </c>
      <c r="M170" s="5"/>
      <c r="N170" s="5" t="s">
        <v>392</v>
      </c>
      <c r="O170" s="5" t="s">
        <v>6025</v>
      </c>
      <c r="P170" s="5" t="s">
        <v>5737</v>
      </c>
    </row>
    <row r="171" spans="1:16" ht="50.1" customHeight="1" x14ac:dyDescent="0.2">
      <c r="A171" s="5" t="s">
        <v>6026</v>
      </c>
      <c r="B171" s="5" t="s">
        <v>1558</v>
      </c>
      <c r="C171" s="5" t="s">
        <v>1561</v>
      </c>
      <c r="D171" s="5" t="s">
        <v>1535</v>
      </c>
      <c r="E171" s="8">
        <v>5</v>
      </c>
      <c r="F171" s="5" t="s">
        <v>5301</v>
      </c>
      <c r="G171" s="5" t="s">
        <v>5735</v>
      </c>
      <c r="H171" s="5" t="s">
        <v>390</v>
      </c>
      <c r="I171" s="5"/>
      <c r="J171" s="5" t="s">
        <v>668</v>
      </c>
      <c r="K171" s="8">
        <v>0</v>
      </c>
      <c r="L171" s="8">
        <v>1</v>
      </c>
      <c r="M171" s="5"/>
      <c r="N171" s="5" t="s">
        <v>392</v>
      </c>
      <c r="O171" s="5" t="s">
        <v>6027</v>
      </c>
      <c r="P171" s="5" t="s">
        <v>5737</v>
      </c>
    </row>
    <row r="172" spans="1:16" ht="50.1" customHeight="1" x14ac:dyDescent="0.2">
      <c r="A172" s="5" t="s">
        <v>6028</v>
      </c>
      <c r="B172" s="5" t="s">
        <v>412</v>
      </c>
      <c r="C172" s="5" t="s">
        <v>1567</v>
      </c>
      <c r="D172" s="5" t="s">
        <v>1535</v>
      </c>
      <c r="E172" s="8">
        <v>6</v>
      </c>
      <c r="F172" s="5" t="s">
        <v>5302</v>
      </c>
      <c r="G172" s="5" t="s">
        <v>5735</v>
      </c>
      <c r="H172" s="5" t="s">
        <v>362</v>
      </c>
      <c r="I172" s="5"/>
      <c r="J172" s="5" t="s">
        <v>577</v>
      </c>
      <c r="K172" s="8">
        <v>1</v>
      </c>
      <c r="L172" s="8">
        <v>1</v>
      </c>
      <c r="M172" s="5"/>
      <c r="N172" s="5" t="s">
        <v>392</v>
      </c>
      <c r="O172" s="5" t="s">
        <v>6029</v>
      </c>
      <c r="P172" s="5" t="s">
        <v>5737</v>
      </c>
    </row>
    <row r="173" spans="1:16" ht="50.1" customHeight="1" x14ac:dyDescent="0.2">
      <c r="A173" s="5" t="s">
        <v>6030</v>
      </c>
      <c r="B173" s="5" t="s">
        <v>1570</v>
      </c>
      <c r="C173" s="5" t="s">
        <v>1573</v>
      </c>
      <c r="D173" s="5" t="s">
        <v>1535</v>
      </c>
      <c r="E173" s="8">
        <v>7</v>
      </c>
      <c r="F173" s="5" t="s">
        <v>5303</v>
      </c>
      <c r="G173" s="5" t="s">
        <v>5739</v>
      </c>
      <c r="H173" s="5" t="s">
        <v>362</v>
      </c>
      <c r="I173" s="5" t="s">
        <v>6031</v>
      </c>
      <c r="J173" s="5"/>
      <c r="K173" s="8"/>
      <c r="L173" s="8"/>
      <c r="M173" s="5"/>
      <c r="N173" s="5" t="s">
        <v>402</v>
      </c>
      <c r="O173" s="5" t="s">
        <v>6032</v>
      </c>
      <c r="P173" s="5" t="s">
        <v>5728</v>
      </c>
    </row>
    <row r="174" spans="1:16" ht="50.1" customHeight="1" x14ac:dyDescent="0.2">
      <c r="A174" s="5" t="s">
        <v>6033</v>
      </c>
      <c r="B174" s="5" t="s">
        <v>1578</v>
      </c>
      <c r="C174" s="5" t="s">
        <v>1581</v>
      </c>
      <c r="D174" s="5" t="s">
        <v>1535</v>
      </c>
      <c r="E174" s="8">
        <v>8</v>
      </c>
      <c r="F174" s="5" t="s">
        <v>5304</v>
      </c>
      <c r="G174" s="5" t="s">
        <v>5739</v>
      </c>
      <c r="H174" s="5" t="s">
        <v>362</v>
      </c>
      <c r="I174" s="5" t="s">
        <v>6034</v>
      </c>
      <c r="J174" s="5"/>
      <c r="K174" s="8"/>
      <c r="L174" s="8"/>
      <c r="M174" s="5"/>
      <c r="N174" s="5" t="s">
        <v>402</v>
      </c>
      <c r="O174" s="5" t="s">
        <v>6035</v>
      </c>
      <c r="P174" s="5" t="s">
        <v>5728</v>
      </c>
    </row>
    <row r="175" spans="1:16" ht="50.1" customHeight="1" x14ac:dyDescent="0.2">
      <c r="A175" s="5" t="s">
        <v>6036</v>
      </c>
      <c r="B175" s="5" t="s">
        <v>1586</v>
      </c>
      <c r="C175" s="5" t="s">
        <v>1589</v>
      </c>
      <c r="D175" s="5" t="s">
        <v>1535</v>
      </c>
      <c r="E175" s="8">
        <v>9</v>
      </c>
      <c r="F175" s="5" t="s">
        <v>5305</v>
      </c>
      <c r="G175" s="5" t="s">
        <v>5730</v>
      </c>
      <c r="H175" s="5" t="s">
        <v>362</v>
      </c>
      <c r="I175" s="5"/>
      <c r="J175" s="5"/>
      <c r="K175" s="8"/>
      <c r="L175" s="8"/>
      <c r="M175" s="5"/>
      <c r="N175" s="5" t="s">
        <v>364</v>
      </c>
      <c r="O175" s="5" t="s">
        <v>6037</v>
      </c>
      <c r="P175" s="5" t="s">
        <v>5728</v>
      </c>
    </row>
    <row r="176" spans="1:16" ht="50.1" customHeight="1" x14ac:dyDescent="0.2">
      <c r="A176" s="5" t="s">
        <v>6038</v>
      </c>
      <c r="B176" s="5" t="s">
        <v>1594</v>
      </c>
      <c r="C176" s="5" t="s">
        <v>1597</v>
      </c>
      <c r="D176" s="5" t="s">
        <v>1535</v>
      </c>
      <c r="E176" s="8">
        <v>10</v>
      </c>
      <c r="F176" s="5" t="s">
        <v>5306</v>
      </c>
      <c r="G176" s="5" t="s">
        <v>5730</v>
      </c>
      <c r="H176" s="5" t="s">
        <v>362</v>
      </c>
      <c r="I176" s="5"/>
      <c r="J176" s="5"/>
      <c r="K176" s="8"/>
      <c r="L176" s="8"/>
      <c r="M176" s="5"/>
      <c r="N176" s="5" t="s">
        <v>364</v>
      </c>
      <c r="O176" s="5" t="s">
        <v>6039</v>
      </c>
      <c r="P176" s="5" t="s">
        <v>5728</v>
      </c>
    </row>
    <row r="177" spans="1:16" ht="50.1" customHeight="1" x14ac:dyDescent="0.2">
      <c r="A177" s="5" t="s">
        <v>6040</v>
      </c>
      <c r="B177" s="5" t="s">
        <v>1308</v>
      </c>
      <c r="C177" s="5" t="s">
        <v>1604</v>
      </c>
      <c r="D177" s="5" t="s">
        <v>1535</v>
      </c>
      <c r="E177" s="8">
        <v>11</v>
      </c>
      <c r="F177" s="5" t="s">
        <v>5307</v>
      </c>
      <c r="G177" s="5" t="s">
        <v>5784</v>
      </c>
      <c r="H177" s="5" t="s">
        <v>390</v>
      </c>
      <c r="I177" s="5" t="s">
        <v>5785</v>
      </c>
      <c r="J177" s="5" t="s">
        <v>1177</v>
      </c>
      <c r="K177" s="8">
        <v>0</v>
      </c>
      <c r="L177" s="8"/>
      <c r="M177" s="5"/>
      <c r="N177" s="5" t="s">
        <v>571</v>
      </c>
      <c r="O177" s="5" t="s">
        <v>6041</v>
      </c>
      <c r="P177" s="5" t="s">
        <v>5737</v>
      </c>
    </row>
    <row r="178" spans="1:16" ht="50.1" customHeight="1" x14ac:dyDescent="0.2">
      <c r="A178" s="5" t="s">
        <v>6042</v>
      </c>
      <c r="B178" s="5" t="s">
        <v>1607</v>
      </c>
      <c r="C178" s="5" t="s">
        <v>1610</v>
      </c>
      <c r="D178" s="5" t="s">
        <v>1535</v>
      </c>
      <c r="E178" s="8">
        <v>12</v>
      </c>
      <c r="F178" s="5" t="s">
        <v>5308</v>
      </c>
      <c r="G178" s="5" t="s">
        <v>2002</v>
      </c>
      <c r="H178" s="5" t="s">
        <v>362</v>
      </c>
      <c r="I178" s="5"/>
      <c r="J178" s="5"/>
      <c r="K178" s="8"/>
      <c r="L178" s="8"/>
      <c r="M178" s="5"/>
      <c r="N178" s="5" t="s">
        <v>364</v>
      </c>
      <c r="O178" s="5" t="s">
        <v>6043</v>
      </c>
      <c r="P178" s="5" t="s">
        <v>5728</v>
      </c>
    </row>
    <row r="179" spans="1:16" ht="50.1" customHeight="1" x14ac:dyDescent="0.2">
      <c r="A179" s="5" t="s">
        <v>6044</v>
      </c>
      <c r="B179" s="5" t="s">
        <v>1524</v>
      </c>
      <c r="C179" s="5" t="s">
        <v>1617</v>
      </c>
      <c r="D179" s="5" t="s">
        <v>1535</v>
      </c>
      <c r="E179" s="8">
        <v>13</v>
      </c>
      <c r="F179" s="5" t="s">
        <v>5309</v>
      </c>
      <c r="G179" s="5" t="s">
        <v>5735</v>
      </c>
      <c r="H179" s="5" t="s">
        <v>390</v>
      </c>
      <c r="I179" s="5"/>
      <c r="J179" s="5" t="s">
        <v>1535</v>
      </c>
      <c r="K179" s="8">
        <v>0</v>
      </c>
      <c r="L179" s="8">
        <v>1</v>
      </c>
      <c r="M179" s="5"/>
      <c r="N179" s="5" t="s">
        <v>392</v>
      </c>
      <c r="O179" s="5" t="s">
        <v>6045</v>
      </c>
      <c r="P179" s="5" t="s">
        <v>5737</v>
      </c>
    </row>
    <row r="180" spans="1:16" ht="50.1" customHeight="1" x14ac:dyDescent="0.2">
      <c r="A180" s="5" t="s">
        <v>47</v>
      </c>
      <c r="B180" s="5" t="s">
        <v>356</v>
      </c>
      <c r="C180" s="5" t="s">
        <v>1628</v>
      </c>
      <c r="D180" s="5" t="s">
        <v>1623</v>
      </c>
      <c r="E180" s="8">
        <v>1</v>
      </c>
      <c r="F180" s="5" t="s">
        <v>115</v>
      </c>
      <c r="G180" s="5" t="s">
        <v>2002</v>
      </c>
      <c r="H180" s="5" t="s">
        <v>362</v>
      </c>
      <c r="I180" s="5"/>
      <c r="J180" s="5"/>
      <c r="K180" s="8"/>
      <c r="L180" s="8"/>
      <c r="M180" s="5"/>
      <c r="N180" s="5" t="s">
        <v>364</v>
      </c>
      <c r="O180" s="5" t="s">
        <v>6046</v>
      </c>
      <c r="P180" s="5" t="s">
        <v>5728</v>
      </c>
    </row>
    <row r="181" spans="1:16" ht="50.1" customHeight="1" x14ac:dyDescent="0.2">
      <c r="A181" s="5" t="s">
        <v>5729</v>
      </c>
      <c r="B181" s="5" t="s">
        <v>368</v>
      </c>
      <c r="C181" s="5" t="s">
        <v>1633</v>
      </c>
      <c r="D181" s="5" t="s">
        <v>1623</v>
      </c>
      <c r="E181" s="8">
        <v>2</v>
      </c>
      <c r="F181" s="5" t="s">
        <v>116</v>
      </c>
      <c r="G181" s="5" t="s">
        <v>5730</v>
      </c>
      <c r="H181" s="5" t="s">
        <v>362</v>
      </c>
      <c r="I181" s="5"/>
      <c r="J181" s="5"/>
      <c r="K181" s="8"/>
      <c r="L181" s="8"/>
      <c r="M181" s="5"/>
      <c r="N181" s="5" t="s">
        <v>364</v>
      </c>
      <c r="O181" s="5" t="s">
        <v>6047</v>
      </c>
      <c r="P181" s="5" t="s">
        <v>5728</v>
      </c>
    </row>
    <row r="182" spans="1:16" ht="50.1" customHeight="1" x14ac:dyDescent="0.2">
      <c r="A182" s="5" t="s">
        <v>42</v>
      </c>
      <c r="B182" s="5" t="s">
        <v>376</v>
      </c>
      <c r="C182" s="5" t="s">
        <v>1638</v>
      </c>
      <c r="D182" s="5" t="s">
        <v>1623</v>
      </c>
      <c r="E182" s="8">
        <v>3</v>
      </c>
      <c r="F182" s="5" t="s">
        <v>117</v>
      </c>
      <c r="G182" s="5" t="s">
        <v>2002</v>
      </c>
      <c r="H182" s="5" t="s">
        <v>362</v>
      </c>
      <c r="I182" s="5"/>
      <c r="J182" s="5"/>
      <c r="K182" s="8"/>
      <c r="L182" s="8"/>
      <c r="M182" s="5"/>
      <c r="N182" s="5" t="s">
        <v>382</v>
      </c>
      <c r="O182" s="5" t="s">
        <v>6048</v>
      </c>
      <c r="P182" s="5" t="s">
        <v>5733</v>
      </c>
    </row>
    <row r="183" spans="1:16" ht="50.1" customHeight="1" x14ac:dyDescent="0.2">
      <c r="A183" s="5" t="s">
        <v>5790</v>
      </c>
      <c r="B183" s="5" t="s">
        <v>595</v>
      </c>
      <c r="C183" s="5" t="s">
        <v>1643</v>
      </c>
      <c r="D183" s="5" t="s">
        <v>1623</v>
      </c>
      <c r="E183" s="8">
        <v>4</v>
      </c>
      <c r="F183" s="5" t="s">
        <v>236</v>
      </c>
      <c r="G183" s="5" t="s">
        <v>5735</v>
      </c>
      <c r="H183" s="5" t="s">
        <v>362</v>
      </c>
      <c r="I183" s="5"/>
      <c r="J183" s="5" t="s">
        <v>348</v>
      </c>
      <c r="K183" s="8">
        <v>1</v>
      </c>
      <c r="L183" s="8">
        <v>1</v>
      </c>
      <c r="M183" s="5"/>
      <c r="N183" s="5" t="s">
        <v>392</v>
      </c>
      <c r="O183" s="5" t="s">
        <v>6049</v>
      </c>
      <c r="P183" s="5" t="s">
        <v>5737</v>
      </c>
    </row>
    <row r="184" spans="1:16" ht="50.1" customHeight="1" x14ac:dyDescent="0.2">
      <c r="A184" s="5" t="s">
        <v>6050</v>
      </c>
      <c r="B184" s="5" t="s">
        <v>1524</v>
      </c>
      <c r="C184" s="5" t="s">
        <v>1648</v>
      </c>
      <c r="D184" s="5" t="s">
        <v>1623</v>
      </c>
      <c r="E184" s="8">
        <v>5</v>
      </c>
      <c r="F184" s="5" t="s">
        <v>5479</v>
      </c>
      <c r="G184" s="5" t="s">
        <v>5735</v>
      </c>
      <c r="H184" s="5" t="s">
        <v>390</v>
      </c>
      <c r="I184" s="5"/>
      <c r="J184" s="5" t="s">
        <v>1535</v>
      </c>
      <c r="K184" s="8">
        <v>0</v>
      </c>
      <c r="L184" s="8">
        <v>1</v>
      </c>
      <c r="M184" s="5"/>
      <c r="N184" s="5" t="s">
        <v>392</v>
      </c>
      <c r="O184" s="5" t="s">
        <v>6051</v>
      </c>
      <c r="P184" s="5" t="s">
        <v>5737</v>
      </c>
    </row>
    <row r="185" spans="1:16" ht="50.1" customHeight="1" x14ac:dyDescent="0.2">
      <c r="A185" s="5" t="s">
        <v>6052</v>
      </c>
      <c r="B185" s="5" t="s">
        <v>1651</v>
      </c>
      <c r="C185" s="5" t="s">
        <v>1654</v>
      </c>
      <c r="D185" s="5" t="s">
        <v>1623</v>
      </c>
      <c r="E185" s="8">
        <v>6</v>
      </c>
      <c r="F185" s="5" t="s">
        <v>5480</v>
      </c>
      <c r="G185" s="5" t="s">
        <v>5784</v>
      </c>
      <c r="H185" s="5" t="s">
        <v>362</v>
      </c>
      <c r="I185" s="5" t="s">
        <v>5785</v>
      </c>
      <c r="J185" s="5" t="s">
        <v>767</v>
      </c>
      <c r="K185" s="8">
        <v>1</v>
      </c>
      <c r="L185" s="8"/>
      <c r="M185" s="5"/>
      <c r="N185" s="5" t="s">
        <v>571</v>
      </c>
      <c r="O185" s="5" t="s">
        <v>6053</v>
      </c>
      <c r="P185" s="5" t="s">
        <v>5737</v>
      </c>
    </row>
    <row r="186" spans="1:16" ht="50.1" customHeight="1" x14ac:dyDescent="0.2">
      <c r="A186" s="5" t="s">
        <v>6054</v>
      </c>
      <c r="B186" s="5" t="s">
        <v>603</v>
      </c>
      <c r="C186" s="5" t="s">
        <v>1660</v>
      </c>
      <c r="D186" s="5" t="s">
        <v>1623</v>
      </c>
      <c r="E186" s="8">
        <v>7</v>
      </c>
      <c r="F186" s="5" t="s">
        <v>5481</v>
      </c>
      <c r="G186" s="5" t="s">
        <v>5735</v>
      </c>
      <c r="H186" s="5" t="s">
        <v>362</v>
      </c>
      <c r="I186" s="5"/>
      <c r="J186" s="5" t="s">
        <v>482</v>
      </c>
      <c r="K186" s="8">
        <v>1</v>
      </c>
      <c r="L186" s="8">
        <v>1</v>
      </c>
      <c r="M186" s="5"/>
      <c r="N186" s="5" t="s">
        <v>392</v>
      </c>
      <c r="O186" s="5" t="s">
        <v>6055</v>
      </c>
      <c r="P186" s="5" t="s">
        <v>5737</v>
      </c>
    </row>
    <row r="187" spans="1:16" ht="50.1" customHeight="1" x14ac:dyDescent="0.2">
      <c r="A187" s="5" t="s">
        <v>6056</v>
      </c>
      <c r="B187" s="5" t="s">
        <v>1663</v>
      </c>
      <c r="C187" s="5" t="s">
        <v>1666</v>
      </c>
      <c r="D187" s="5" t="s">
        <v>1623</v>
      </c>
      <c r="E187" s="8">
        <v>8</v>
      </c>
      <c r="F187" s="5" t="s">
        <v>5482</v>
      </c>
      <c r="G187" s="5" t="s">
        <v>5739</v>
      </c>
      <c r="H187" s="5" t="s">
        <v>362</v>
      </c>
      <c r="I187" s="5" t="s">
        <v>6057</v>
      </c>
      <c r="J187" s="5"/>
      <c r="K187" s="8"/>
      <c r="L187" s="8"/>
      <c r="M187" s="5"/>
      <c r="N187" s="5" t="s">
        <v>402</v>
      </c>
      <c r="O187" s="5" t="s">
        <v>6058</v>
      </c>
      <c r="P187" s="5" t="s">
        <v>5728</v>
      </c>
    </row>
    <row r="188" spans="1:16" ht="50.1" customHeight="1" x14ac:dyDescent="0.2">
      <c r="A188" s="5" t="s">
        <v>6059</v>
      </c>
      <c r="B188" s="5" t="s">
        <v>1671</v>
      </c>
      <c r="C188" s="5" t="s">
        <v>1674</v>
      </c>
      <c r="D188" s="5" t="s">
        <v>1623</v>
      </c>
      <c r="E188" s="8">
        <v>9</v>
      </c>
      <c r="F188" s="5" t="s">
        <v>5483</v>
      </c>
      <c r="G188" s="5" t="s">
        <v>5739</v>
      </c>
      <c r="H188" s="5" t="s">
        <v>362</v>
      </c>
      <c r="I188" s="5" t="s">
        <v>6060</v>
      </c>
      <c r="J188" s="5"/>
      <c r="K188" s="8"/>
      <c r="L188" s="8"/>
      <c r="M188" s="5"/>
      <c r="N188" s="5" t="s">
        <v>402</v>
      </c>
      <c r="O188" s="5" t="s">
        <v>6061</v>
      </c>
      <c r="P188" s="5" t="s">
        <v>5728</v>
      </c>
    </row>
    <row r="189" spans="1:16" ht="50.1" customHeight="1" x14ac:dyDescent="0.2">
      <c r="A189" s="5" t="s">
        <v>6062</v>
      </c>
      <c r="B189" s="5" t="s">
        <v>1679</v>
      </c>
      <c r="C189" s="5" t="s">
        <v>1682</v>
      </c>
      <c r="D189" s="5" t="s">
        <v>1623</v>
      </c>
      <c r="E189" s="8">
        <v>10</v>
      </c>
      <c r="F189" s="5" t="s">
        <v>5484</v>
      </c>
      <c r="G189" s="5" t="s">
        <v>5739</v>
      </c>
      <c r="H189" s="5" t="s">
        <v>362</v>
      </c>
      <c r="I189" s="5" t="s">
        <v>6063</v>
      </c>
      <c r="J189" s="5"/>
      <c r="K189" s="8"/>
      <c r="L189" s="8"/>
      <c r="M189" s="5"/>
      <c r="N189" s="5" t="s">
        <v>402</v>
      </c>
      <c r="O189" s="5" t="s">
        <v>6064</v>
      </c>
      <c r="P189" s="5" t="s">
        <v>5728</v>
      </c>
    </row>
    <row r="190" spans="1:16" ht="50.1" customHeight="1" x14ac:dyDescent="0.2">
      <c r="A190" s="5" t="s">
        <v>6065</v>
      </c>
      <c r="B190" s="5" t="s">
        <v>412</v>
      </c>
      <c r="C190" s="5" t="s">
        <v>1689</v>
      </c>
      <c r="D190" s="5" t="s">
        <v>1623</v>
      </c>
      <c r="E190" s="8">
        <v>11</v>
      </c>
      <c r="F190" s="5" t="s">
        <v>5485</v>
      </c>
      <c r="G190" s="5" t="s">
        <v>5735</v>
      </c>
      <c r="H190" s="5" t="s">
        <v>390</v>
      </c>
      <c r="I190" s="5"/>
      <c r="J190" s="5" t="s">
        <v>577</v>
      </c>
      <c r="K190" s="8">
        <v>0</v>
      </c>
      <c r="L190" s="8">
        <v>1</v>
      </c>
      <c r="M190" s="5"/>
      <c r="N190" s="5" t="s">
        <v>392</v>
      </c>
      <c r="O190" s="5" t="s">
        <v>6066</v>
      </c>
      <c r="P190" s="5" t="s">
        <v>5737</v>
      </c>
    </row>
    <row r="191" spans="1:16" ht="50.1" customHeight="1" x14ac:dyDescent="0.2">
      <c r="A191" s="5" t="s">
        <v>6067</v>
      </c>
      <c r="B191" s="5" t="s">
        <v>1692</v>
      </c>
      <c r="C191" s="5" t="s">
        <v>1695</v>
      </c>
      <c r="D191" s="5" t="s">
        <v>1623</v>
      </c>
      <c r="E191" s="8">
        <v>12</v>
      </c>
      <c r="F191" s="5" t="s">
        <v>5486</v>
      </c>
      <c r="G191" s="5" t="s">
        <v>5730</v>
      </c>
      <c r="H191" s="5" t="s">
        <v>362</v>
      </c>
      <c r="I191" s="5"/>
      <c r="J191" s="5"/>
      <c r="K191" s="8"/>
      <c r="L191" s="8"/>
      <c r="M191" s="5"/>
      <c r="N191" s="5" t="s">
        <v>364</v>
      </c>
      <c r="O191" s="5" t="s">
        <v>6068</v>
      </c>
      <c r="P191" s="5" t="s">
        <v>5728</v>
      </c>
    </row>
    <row r="192" spans="1:16" ht="50.1" customHeight="1" x14ac:dyDescent="0.2">
      <c r="A192" s="5" t="s">
        <v>6069</v>
      </c>
      <c r="B192" s="5" t="s">
        <v>1700</v>
      </c>
      <c r="C192" s="5" t="s">
        <v>1703</v>
      </c>
      <c r="D192" s="5" t="s">
        <v>1623</v>
      </c>
      <c r="E192" s="8">
        <v>13</v>
      </c>
      <c r="F192" s="5" t="s">
        <v>5487</v>
      </c>
      <c r="G192" s="5" t="s">
        <v>5784</v>
      </c>
      <c r="H192" s="5" t="s">
        <v>390</v>
      </c>
      <c r="I192" s="5" t="s">
        <v>5785</v>
      </c>
      <c r="J192" s="5" t="s">
        <v>1535</v>
      </c>
      <c r="K192" s="8">
        <v>0</v>
      </c>
      <c r="L192" s="8"/>
      <c r="M192" s="5"/>
      <c r="N192" s="5" t="s">
        <v>571</v>
      </c>
      <c r="O192" s="5" t="s">
        <v>6070</v>
      </c>
      <c r="P192" s="5" t="s">
        <v>5737</v>
      </c>
    </row>
    <row r="193" spans="1:16" ht="50.1" customHeight="1" x14ac:dyDescent="0.2">
      <c r="A193" s="5" t="s">
        <v>47</v>
      </c>
      <c r="B193" s="5" t="s">
        <v>356</v>
      </c>
      <c r="C193" s="5" t="s">
        <v>1715</v>
      </c>
      <c r="D193" s="5" t="s">
        <v>1710</v>
      </c>
      <c r="E193" s="8">
        <v>1</v>
      </c>
      <c r="F193" s="5" t="s">
        <v>115</v>
      </c>
      <c r="G193" s="5" t="s">
        <v>2002</v>
      </c>
      <c r="H193" s="5" t="s">
        <v>362</v>
      </c>
      <c r="I193" s="5"/>
      <c r="J193" s="5"/>
      <c r="K193" s="8"/>
      <c r="L193" s="8"/>
      <c r="M193" s="5"/>
      <c r="N193" s="5" t="s">
        <v>364</v>
      </c>
      <c r="O193" s="5" t="s">
        <v>6071</v>
      </c>
      <c r="P193" s="5" t="s">
        <v>5728</v>
      </c>
    </row>
    <row r="194" spans="1:16" ht="50.1" customHeight="1" x14ac:dyDescent="0.2">
      <c r="A194" s="5" t="s">
        <v>5729</v>
      </c>
      <c r="B194" s="5" t="s">
        <v>368</v>
      </c>
      <c r="C194" s="5" t="s">
        <v>1720</v>
      </c>
      <c r="D194" s="5" t="s">
        <v>1710</v>
      </c>
      <c r="E194" s="8">
        <v>2</v>
      </c>
      <c r="F194" s="5" t="s">
        <v>116</v>
      </c>
      <c r="G194" s="5" t="s">
        <v>5730</v>
      </c>
      <c r="H194" s="5" t="s">
        <v>362</v>
      </c>
      <c r="I194" s="5"/>
      <c r="J194" s="5"/>
      <c r="K194" s="8"/>
      <c r="L194" s="8"/>
      <c r="M194" s="5"/>
      <c r="N194" s="5" t="s">
        <v>364</v>
      </c>
      <c r="O194" s="5" t="s">
        <v>6072</v>
      </c>
      <c r="P194" s="5" t="s">
        <v>5728</v>
      </c>
    </row>
    <row r="195" spans="1:16" ht="50.1" customHeight="1" x14ac:dyDescent="0.2">
      <c r="A195" s="5" t="s">
        <v>42</v>
      </c>
      <c r="B195" s="5" t="s">
        <v>376</v>
      </c>
      <c r="C195" s="5" t="s">
        <v>1725</v>
      </c>
      <c r="D195" s="5" t="s">
        <v>1710</v>
      </c>
      <c r="E195" s="8">
        <v>3</v>
      </c>
      <c r="F195" s="5" t="s">
        <v>117</v>
      </c>
      <c r="G195" s="5" t="s">
        <v>2002</v>
      </c>
      <c r="H195" s="5" t="s">
        <v>362</v>
      </c>
      <c r="I195" s="5"/>
      <c r="J195" s="5"/>
      <c r="K195" s="8"/>
      <c r="L195" s="8"/>
      <c r="M195" s="5"/>
      <c r="N195" s="5" t="s">
        <v>382</v>
      </c>
      <c r="O195" s="5" t="s">
        <v>6073</v>
      </c>
      <c r="P195" s="5" t="s">
        <v>5733</v>
      </c>
    </row>
    <row r="196" spans="1:16" ht="50.1" customHeight="1" x14ac:dyDescent="0.2">
      <c r="A196" s="5" t="s">
        <v>6024</v>
      </c>
      <c r="B196" s="5" t="s">
        <v>818</v>
      </c>
      <c r="C196" s="5" t="s">
        <v>1730</v>
      </c>
      <c r="D196" s="5" t="s">
        <v>1710</v>
      </c>
      <c r="E196" s="8">
        <v>4</v>
      </c>
      <c r="F196" s="5" t="s">
        <v>5300</v>
      </c>
      <c r="G196" s="5" t="s">
        <v>5735</v>
      </c>
      <c r="H196" s="5" t="s">
        <v>362</v>
      </c>
      <c r="I196" s="5"/>
      <c r="J196" s="5" t="s">
        <v>767</v>
      </c>
      <c r="K196" s="8">
        <v>1</v>
      </c>
      <c r="L196" s="8">
        <v>1</v>
      </c>
      <c r="M196" s="5"/>
      <c r="N196" s="5" t="s">
        <v>392</v>
      </c>
      <c r="O196" s="5" t="s">
        <v>6074</v>
      </c>
      <c r="P196" s="5" t="s">
        <v>5737</v>
      </c>
    </row>
    <row r="197" spans="1:16" ht="50.1" customHeight="1" x14ac:dyDescent="0.2">
      <c r="A197" s="5" t="s">
        <v>6075</v>
      </c>
      <c r="B197" s="5" t="s">
        <v>412</v>
      </c>
      <c r="C197" s="5" t="s">
        <v>1735</v>
      </c>
      <c r="D197" s="5" t="s">
        <v>1710</v>
      </c>
      <c r="E197" s="8">
        <v>5</v>
      </c>
      <c r="F197" s="5" t="s">
        <v>5516</v>
      </c>
      <c r="G197" s="5" t="s">
        <v>5735</v>
      </c>
      <c r="H197" s="5" t="s">
        <v>362</v>
      </c>
      <c r="I197" s="5"/>
      <c r="J197" s="5" t="s">
        <v>577</v>
      </c>
      <c r="K197" s="8">
        <v>1</v>
      </c>
      <c r="L197" s="8">
        <v>1</v>
      </c>
      <c r="M197" s="5"/>
      <c r="N197" s="5" t="s">
        <v>392</v>
      </c>
      <c r="O197" s="5" t="s">
        <v>6076</v>
      </c>
      <c r="P197" s="5" t="s">
        <v>5737</v>
      </c>
    </row>
    <row r="198" spans="1:16" ht="50.1" customHeight="1" x14ac:dyDescent="0.2">
      <c r="A198" s="5" t="s">
        <v>6077</v>
      </c>
      <c r="B198" s="5" t="s">
        <v>1738</v>
      </c>
      <c r="C198" s="5" t="s">
        <v>1741</v>
      </c>
      <c r="D198" s="5" t="s">
        <v>1710</v>
      </c>
      <c r="E198" s="8">
        <v>6</v>
      </c>
      <c r="F198" s="5" t="s">
        <v>5517</v>
      </c>
      <c r="G198" s="5" t="s">
        <v>5739</v>
      </c>
      <c r="H198" s="5" t="s">
        <v>362</v>
      </c>
      <c r="I198" s="5" t="s">
        <v>6078</v>
      </c>
      <c r="J198" s="5"/>
      <c r="K198" s="8"/>
      <c r="L198" s="8"/>
      <c r="M198" s="5"/>
      <c r="N198" s="5" t="s">
        <v>402</v>
      </c>
      <c r="O198" s="5" t="s">
        <v>6079</v>
      </c>
      <c r="P198" s="5" t="s">
        <v>5728</v>
      </c>
    </row>
    <row r="199" spans="1:16" ht="50.1" customHeight="1" x14ac:dyDescent="0.2">
      <c r="A199" s="5" t="s">
        <v>6080</v>
      </c>
      <c r="B199" s="5" t="s">
        <v>1746</v>
      </c>
      <c r="C199" s="5" t="s">
        <v>1749</v>
      </c>
      <c r="D199" s="5" t="s">
        <v>1710</v>
      </c>
      <c r="E199" s="8">
        <v>7</v>
      </c>
      <c r="F199" s="5" t="s">
        <v>5518</v>
      </c>
      <c r="G199" s="5" t="s">
        <v>2002</v>
      </c>
      <c r="H199" s="5" t="s">
        <v>362</v>
      </c>
      <c r="I199" s="5"/>
      <c r="J199" s="5"/>
      <c r="K199" s="8"/>
      <c r="L199" s="8"/>
      <c r="M199" s="5"/>
      <c r="N199" s="5" t="s">
        <v>364</v>
      </c>
      <c r="O199" s="5" t="s">
        <v>6081</v>
      </c>
      <c r="P199" s="5" t="s">
        <v>5728</v>
      </c>
    </row>
    <row r="200" spans="1:16" ht="50.1" customHeight="1" x14ac:dyDescent="0.2">
      <c r="A200" s="5" t="s">
        <v>6082</v>
      </c>
      <c r="B200" s="5" t="s">
        <v>1754</v>
      </c>
      <c r="C200" s="5" t="s">
        <v>1757</v>
      </c>
      <c r="D200" s="5" t="s">
        <v>1710</v>
      </c>
      <c r="E200" s="8">
        <v>8</v>
      </c>
      <c r="F200" s="5" t="s">
        <v>5519</v>
      </c>
      <c r="G200" s="5" t="s">
        <v>5730</v>
      </c>
      <c r="H200" s="5" t="s">
        <v>362</v>
      </c>
      <c r="I200" s="5"/>
      <c r="J200" s="5"/>
      <c r="K200" s="8"/>
      <c r="L200" s="8"/>
      <c r="M200" s="5"/>
      <c r="N200" s="5" t="s">
        <v>364</v>
      </c>
      <c r="O200" s="5" t="s">
        <v>6083</v>
      </c>
      <c r="P200" s="5" t="s">
        <v>5728</v>
      </c>
    </row>
    <row r="201" spans="1:16" ht="50.1" customHeight="1" x14ac:dyDescent="0.2">
      <c r="A201" s="5" t="s">
        <v>6084</v>
      </c>
      <c r="B201" s="5" t="s">
        <v>1700</v>
      </c>
      <c r="C201" s="5" t="s">
        <v>1764</v>
      </c>
      <c r="D201" s="5" t="s">
        <v>1710</v>
      </c>
      <c r="E201" s="8">
        <v>9</v>
      </c>
      <c r="F201" s="5" t="s">
        <v>5520</v>
      </c>
      <c r="G201" s="5" t="s">
        <v>5784</v>
      </c>
      <c r="H201" s="5" t="s">
        <v>390</v>
      </c>
      <c r="I201" s="5" t="s">
        <v>5785</v>
      </c>
      <c r="J201" s="5" t="s">
        <v>1535</v>
      </c>
      <c r="K201" s="8">
        <v>0</v>
      </c>
      <c r="L201" s="8"/>
      <c r="M201" s="5"/>
      <c r="N201" s="5" t="s">
        <v>571</v>
      </c>
      <c r="O201" s="5" t="s">
        <v>6085</v>
      </c>
      <c r="P201" s="5" t="s">
        <v>5737</v>
      </c>
    </row>
    <row r="202" spans="1:16" ht="50.1" customHeight="1" x14ac:dyDescent="0.2">
      <c r="A202" s="5" t="s">
        <v>6086</v>
      </c>
      <c r="B202" s="5" t="s">
        <v>1767</v>
      </c>
      <c r="C202" s="5" t="s">
        <v>1770</v>
      </c>
      <c r="D202" s="5" t="s">
        <v>1710</v>
      </c>
      <c r="E202" s="8">
        <v>10</v>
      </c>
      <c r="F202" s="5" t="s">
        <v>5521</v>
      </c>
      <c r="G202" s="5" t="s">
        <v>5784</v>
      </c>
      <c r="H202" s="5" t="s">
        <v>390</v>
      </c>
      <c r="I202" s="5" t="s">
        <v>5785</v>
      </c>
      <c r="J202" s="5" t="s">
        <v>1623</v>
      </c>
      <c r="K202" s="8">
        <v>0</v>
      </c>
      <c r="L202" s="8"/>
      <c r="M202" s="5"/>
      <c r="N202" s="5" t="s">
        <v>571</v>
      </c>
      <c r="O202" s="5" t="s">
        <v>6087</v>
      </c>
      <c r="P202" s="5" t="s">
        <v>5737</v>
      </c>
    </row>
    <row r="203" spans="1:16" ht="50.1" customHeight="1" x14ac:dyDescent="0.2">
      <c r="A203" s="5" t="s">
        <v>6088</v>
      </c>
      <c r="B203" s="5" t="s">
        <v>1775</v>
      </c>
      <c r="C203" s="5" t="s">
        <v>1778</v>
      </c>
      <c r="D203" s="5" t="s">
        <v>1710</v>
      </c>
      <c r="E203" s="8">
        <v>11</v>
      </c>
      <c r="F203" s="5" t="s">
        <v>5522</v>
      </c>
      <c r="G203" s="5" t="s">
        <v>5735</v>
      </c>
      <c r="H203" s="5" t="s">
        <v>390</v>
      </c>
      <c r="I203" s="5"/>
      <c r="J203" s="5" t="s">
        <v>1710</v>
      </c>
      <c r="K203" s="8">
        <v>0</v>
      </c>
      <c r="L203" s="8">
        <v>1</v>
      </c>
      <c r="M203" s="5"/>
      <c r="N203" s="5" t="s">
        <v>392</v>
      </c>
      <c r="O203" s="5" t="s">
        <v>6089</v>
      </c>
      <c r="P203" s="5" t="s">
        <v>5737</v>
      </c>
    </row>
    <row r="204" spans="1:16" ht="50.1" customHeight="1" x14ac:dyDescent="0.2">
      <c r="A204" s="5" t="s">
        <v>5807</v>
      </c>
      <c r="B204" s="5" t="s">
        <v>1783</v>
      </c>
      <c r="C204" s="5" t="s">
        <v>1786</v>
      </c>
      <c r="D204" s="5" t="s">
        <v>1710</v>
      </c>
      <c r="E204" s="8">
        <v>12</v>
      </c>
      <c r="F204" s="5" t="s">
        <v>3102</v>
      </c>
      <c r="G204" s="5" t="s">
        <v>5739</v>
      </c>
      <c r="H204" s="5" t="s">
        <v>362</v>
      </c>
      <c r="I204" s="5" t="s">
        <v>5808</v>
      </c>
      <c r="J204" s="5"/>
      <c r="K204" s="8"/>
      <c r="L204" s="8"/>
      <c r="M204" s="5"/>
      <c r="N204" s="5" t="s">
        <v>402</v>
      </c>
      <c r="O204" s="5" t="s">
        <v>6090</v>
      </c>
      <c r="P204" s="5" t="s">
        <v>5728</v>
      </c>
    </row>
    <row r="205" spans="1:16" ht="50.1" customHeight="1" x14ac:dyDescent="0.2">
      <c r="A205" s="5" t="s">
        <v>47</v>
      </c>
      <c r="B205" s="5" t="s">
        <v>356</v>
      </c>
      <c r="C205" s="5" t="s">
        <v>1798</v>
      </c>
      <c r="D205" s="5" t="s">
        <v>1793</v>
      </c>
      <c r="E205" s="8">
        <v>1</v>
      </c>
      <c r="F205" s="5" t="s">
        <v>115</v>
      </c>
      <c r="G205" s="5" t="s">
        <v>2002</v>
      </c>
      <c r="H205" s="5" t="s">
        <v>362</v>
      </c>
      <c r="I205" s="5"/>
      <c r="J205" s="5"/>
      <c r="K205" s="8"/>
      <c r="L205" s="8"/>
      <c r="M205" s="5"/>
      <c r="N205" s="5" t="s">
        <v>364</v>
      </c>
      <c r="O205" s="5" t="s">
        <v>6091</v>
      </c>
      <c r="P205" s="5" t="s">
        <v>5728</v>
      </c>
    </row>
    <row r="206" spans="1:16" ht="50.1" customHeight="1" x14ac:dyDescent="0.2">
      <c r="A206" s="5" t="s">
        <v>5729</v>
      </c>
      <c r="B206" s="5" t="s">
        <v>368</v>
      </c>
      <c r="C206" s="5" t="s">
        <v>1803</v>
      </c>
      <c r="D206" s="5" t="s">
        <v>1793</v>
      </c>
      <c r="E206" s="8">
        <v>2</v>
      </c>
      <c r="F206" s="5" t="s">
        <v>116</v>
      </c>
      <c r="G206" s="5" t="s">
        <v>5730</v>
      </c>
      <c r="H206" s="5" t="s">
        <v>362</v>
      </c>
      <c r="I206" s="5"/>
      <c r="J206" s="5"/>
      <c r="K206" s="8"/>
      <c r="L206" s="8"/>
      <c r="M206" s="5"/>
      <c r="N206" s="5" t="s">
        <v>364</v>
      </c>
      <c r="O206" s="5" t="s">
        <v>6092</v>
      </c>
      <c r="P206" s="5" t="s">
        <v>5728</v>
      </c>
    </row>
    <row r="207" spans="1:16" ht="50.1" customHeight="1" x14ac:dyDescent="0.2">
      <c r="A207" s="5" t="s">
        <v>42</v>
      </c>
      <c r="B207" s="5" t="s">
        <v>376</v>
      </c>
      <c r="C207" s="5" t="s">
        <v>1808</v>
      </c>
      <c r="D207" s="5" t="s">
        <v>1793</v>
      </c>
      <c r="E207" s="8">
        <v>3</v>
      </c>
      <c r="F207" s="5" t="s">
        <v>117</v>
      </c>
      <c r="G207" s="5" t="s">
        <v>2002</v>
      </c>
      <c r="H207" s="5" t="s">
        <v>362</v>
      </c>
      <c r="I207" s="5"/>
      <c r="J207" s="5"/>
      <c r="K207" s="8"/>
      <c r="L207" s="8"/>
      <c r="M207" s="5"/>
      <c r="N207" s="5" t="s">
        <v>382</v>
      </c>
      <c r="O207" s="5" t="s">
        <v>6093</v>
      </c>
      <c r="P207" s="5" t="s">
        <v>5733</v>
      </c>
    </row>
    <row r="208" spans="1:16" ht="50.1" customHeight="1" x14ac:dyDescent="0.2">
      <c r="A208" s="5" t="s">
        <v>5766</v>
      </c>
      <c r="B208" s="5" t="s">
        <v>500</v>
      </c>
      <c r="C208" s="5" t="s">
        <v>1813</v>
      </c>
      <c r="D208" s="5" t="s">
        <v>1793</v>
      </c>
      <c r="E208" s="8">
        <v>4</v>
      </c>
      <c r="F208" s="5" t="s">
        <v>167</v>
      </c>
      <c r="G208" s="5" t="s">
        <v>5735</v>
      </c>
      <c r="H208" s="5" t="s">
        <v>362</v>
      </c>
      <c r="I208" s="5"/>
      <c r="J208" s="5" t="s">
        <v>767</v>
      </c>
      <c r="K208" s="8">
        <v>1</v>
      </c>
      <c r="L208" s="8">
        <v>1</v>
      </c>
      <c r="M208" s="5"/>
      <c r="N208" s="5" t="s">
        <v>392</v>
      </c>
      <c r="O208" s="5" t="s">
        <v>6094</v>
      </c>
      <c r="P208" s="5" t="s">
        <v>5737</v>
      </c>
    </row>
    <row r="209" spans="1:16" ht="50.1" customHeight="1" x14ac:dyDescent="0.2">
      <c r="A209" s="5" t="s">
        <v>6095</v>
      </c>
      <c r="B209" s="5" t="s">
        <v>1816</v>
      </c>
      <c r="C209" s="5" t="s">
        <v>1819</v>
      </c>
      <c r="D209" s="5" t="s">
        <v>1793</v>
      </c>
      <c r="E209" s="8">
        <v>5</v>
      </c>
      <c r="F209" s="5" t="s">
        <v>5532</v>
      </c>
      <c r="G209" s="5" t="s">
        <v>5739</v>
      </c>
      <c r="H209" s="5" t="s">
        <v>362</v>
      </c>
      <c r="I209" s="5" t="s">
        <v>6096</v>
      </c>
      <c r="J209" s="5"/>
      <c r="K209" s="8"/>
      <c r="L209" s="8"/>
      <c r="M209" s="5"/>
      <c r="N209" s="5" t="s">
        <v>402</v>
      </c>
      <c r="O209" s="5" t="s">
        <v>6097</v>
      </c>
      <c r="P209" s="5" t="s">
        <v>5728</v>
      </c>
    </row>
    <row r="210" spans="1:16" ht="50.1" customHeight="1" x14ac:dyDescent="0.2">
      <c r="A210" s="5" t="s">
        <v>6098</v>
      </c>
      <c r="B210" s="5" t="s">
        <v>420</v>
      </c>
      <c r="C210" s="5" t="s">
        <v>1825</v>
      </c>
      <c r="D210" s="5" t="s">
        <v>1793</v>
      </c>
      <c r="E210" s="8">
        <v>6</v>
      </c>
      <c r="F210" s="5" t="s">
        <v>5533</v>
      </c>
      <c r="G210" s="5" t="s">
        <v>5735</v>
      </c>
      <c r="H210" s="5" t="s">
        <v>362</v>
      </c>
      <c r="I210" s="5"/>
      <c r="J210" s="5" t="s">
        <v>1177</v>
      </c>
      <c r="K210" s="8">
        <v>1</v>
      </c>
      <c r="L210" s="8">
        <v>1</v>
      </c>
      <c r="M210" s="5"/>
      <c r="N210" s="5" t="s">
        <v>392</v>
      </c>
      <c r="O210" s="5" t="s">
        <v>6099</v>
      </c>
      <c r="P210" s="5" t="s">
        <v>5737</v>
      </c>
    </row>
    <row r="211" spans="1:16" ht="50.1" customHeight="1" x14ac:dyDescent="0.2">
      <c r="A211" s="5" t="s">
        <v>6100</v>
      </c>
      <c r="B211" s="5" t="s">
        <v>1828</v>
      </c>
      <c r="C211" s="5" t="s">
        <v>1831</v>
      </c>
      <c r="D211" s="5" t="s">
        <v>1793</v>
      </c>
      <c r="E211" s="8">
        <v>7</v>
      </c>
      <c r="F211" s="5" t="s">
        <v>5534</v>
      </c>
      <c r="G211" s="5" t="s">
        <v>5784</v>
      </c>
      <c r="H211" s="5" t="s">
        <v>362</v>
      </c>
      <c r="I211" s="5" t="s">
        <v>5785</v>
      </c>
      <c r="J211" s="5" t="s">
        <v>767</v>
      </c>
      <c r="K211" s="8">
        <v>1</v>
      </c>
      <c r="L211" s="8"/>
      <c r="M211" s="5"/>
      <c r="N211" s="5" t="s">
        <v>571</v>
      </c>
      <c r="O211" s="5" t="s">
        <v>6101</v>
      </c>
      <c r="P211" s="5" t="s">
        <v>5737</v>
      </c>
    </row>
    <row r="212" spans="1:16" ht="50.1" customHeight="1" x14ac:dyDescent="0.2">
      <c r="A212" s="5" t="s">
        <v>6102</v>
      </c>
      <c r="B212" s="5" t="s">
        <v>420</v>
      </c>
      <c r="C212" s="5" t="s">
        <v>1837</v>
      </c>
      <c r="D212" s="5" t="s">
        <v>1793</v>
      </c>
      <c r="E212" s="8">
        <v>8</v>
      </c>
      <c r="F212" s="5" t="s">
        <v>5535</v>
      </c>
      <c r="G212" s="5" t="s">
        <v>5735</v>
      </c>
      <c r="H212" s="5" t="s">
        <v>390</v>
      </c>
      <c r="I212" s="5"/>
      <c r="J212" s="5" t="s">
        <v>1177</v>
      </c>
      <c r="K212" s="8">
        <v>0</v>
      </c>
      <c r="L212" s="8">
        <v>1</v>
      </c>
      <c r="M212" s="5"/>
      <c r="N212" s="5" t="s">
        <v>392</v>
      </c>
      <c r="O212" s="5" t="s">
        <v>6103</v>
      </c>
      <c r="P212" s="5" t="s">
        <v>5737</v>
      </c>
    </row>
    <row r="213" spans="1:16" ht="50.1" customHeight="1" x14ac:dyDescent="0.2">
      <c r="A213" s="5" t="s">
        <v>6104</v>
      </c>
      <c r="B213" s="5" t="s">
        <v>1840</v>
      </c>
      <c r="C213" s="5" t="s">
        <v>1843</v>
      </c>
      <c r="D213" s="5" t="s">
        <v>1793</v>
      </c>
      <c r="E213" s="8">
        <v>9</v>
      </c>
      <c r="F213" s="5" t="s">
        <v>5536</v>
      </c>
      <c r="G213" s="5" t="s">
        <v>5784</v>
      </c>
      <c r="H213" s="5" t="s">
        <v>362</v>
      </c>
      <c r="I213" s="5" t="s">
        <v>5785</v>
      </c>
      <c r="J213" s="5" t="s">
        <v>1535</v>
      </c>
      <c r="K213" s="8">
        <v>1</v>
      </c>
      <c r="L213" s="8"/>
      <c r="M213" s="5"/>
      <c r="N213" s="5" t="s">
        <v>571</v>
      </c>
      <c r="O213" s="5" t="s">
        <v>6105</v>
      </c>
      <c r="P213" s="5" t="s">
        <v>5737</v>
      </c>
    </row>
    <row r="214" spans="1:16" ht="50.1" customHeight="1" x14ac:dyDescent="0.2">
      <c r="A214" s="5" t="s">
        <v>6106</v>
      </c>
      <c r="B214" s="5" t="s">
        <v>1767</v>
      </c>
      <c r="C214" s="5" t="s">
        <v>1849</v>
      </c>
      <c r="D214" s="5" t="s">
        <v>1793</v>
      </c>
      <c r="E214" s="8">
        <v>10</v>
      </c>
      <c r="F214" s="5" t="s">
        <v>5537</v>
      </c>
      <c r="G214" s="5" t="s">
        <v>5784</v>
      </c>
      <c r="H214" s="5" t="s">
        <v>390</v>
      </c>
      <c r="I214" s="5" t="s">
        <v>5785</v>
      </c>
      <c r="J214" s="5" t="s">
        <v>1623</v>
      </c>
      <c r="K214" s="8">
        <v>0</v>
      </c>
      <c r="L214" s="8"/>
      <c r="M214" s="5"/>
      <c r="N214" s="5" t="s">
        <v>571</v>
      </c>
      <c r="O214" s="5" t="s">
        <v>6107</v>
      </c>
      <c r="P214" s="5" t="s">
        <v>5737</v>
      </c>
    </row>
    <row r="215" spans="1:16" ht="50.1" customHeight="1" x14ac:dyDescent="0.2">
      <c r="A215" s="5" t="s">
        <v>6108</v>
      </c>
      <c r="B215" s="5" t="s">
        <v>1852</v>
      </c>
      <c r="C215" s="5" t="s">
        <v>1855</v>
      </c>
      <c r="D215" s="5" t="s">
        <v>1793</v>
      </c>
      <c r="E215" s="8">
        <v>11</v>
      </c>
      <c r="F215" s="5" t="s">
        <v>5538</v>
      </c>
      <c r="G215" s="5" t="s">
        <v>5730</v>
      </c>
      <c r="H215" s="5" t="s">
        <v>362</v>
      </c>
      <c r="I215" s="5"/>
      <c r="J215" s="5"/>
      <c r="K215" s="8"/>
      <c r="L215" s="8"/>
      <c r="M215" s="5"/>
      <c r="N215" s="5" t="s">
        <v>364</v>
      </c>
      <c r="O215" s="5" t="s">
        <v>6109</v>
      </c>
      <c r="P215" s="5" t="s">
        <v>5728</v>
      </c>
    </row>
    <row r="216" spans="1:16" ht="102" customHeight="1" x14ac:dyDescent="0.2">
      <c r="A216" s="5" t="s">
        <v>6110</v>
      </c>
      <c r="B216" s="5" t="s">
        <v>1860</v>
      </c>
      <c r="C216" s="5" t="s">
        <v>1863</v>
      </c>
      <c r="D216" s="5" t="s">
        <v>1793</v>
      </c>
      <c r="E216" s="8">
        <v>12</v>
      </c>
      <c r="F216" s="5" t="s">
        <v>5539</v>
      </c>
      <c r="G216" s="5" t="s">
        <v>4467</v>
      </c>
      <c r="H216" s="5" t="s">
        <v>362</v>
      </c>
      <c r="I216" s="5"/>
      <c r="J216" s="5"/>
      <c r="K216" s="8"/>
      <c r="L216" s="8"/>
      <c r="M216" s="5" t="s">
        <v>6111</v>
      </c>
      <c r="N216" s="5" t="s">
        <v>364</v>
      </c>
      <c r="O216" s="5" t="s">
        <v>6112</v>
      </c>
      <c r="P216" s="5" t="s">
        <v>6113</v>
      </c>
    </row>
    <row r="217" spans="1:16" ht="50.1" customHeight="1" x14ac:dyDescent="0.2">
      <c r="A217" s="5" t="s">
        <v>47</v>
      </c>
      <c r="B217" s="5" t="s">
        <v>356</v>
      </c>
      <c r="C217" s="5" t="s">
        <v>1875</v>
      </c>
      <c r="D217" s="5" t="s">
        <v>1871</v>
      </c>
      <c r="E217" s="8">
        <v>1</v>
      </c>
      <c r="F217" s="5" t="s">
        <v>115</v>
      </c>
      <c r="G217" s="5" t="s">
        <v>2002</v>
      </c>
      <c r="H217" s="5" t="s">
        <v>362</v>
      </c>
      <c r="I217" s="5"/>
      <c r="J217" s="5"/>
      <c r="K217" s="8"/>
      <c r="L217" s="8"/>
      <c r="M217" s="5"/>
      <c r="N217" s="5" t="s">
        <v>364</v>
      </c>
      <c r="O217" s="5" t="s">
        <v>6114</v>
      </c>
      <c r="P217" s="5" t="s">
        <v>5728</v>
      </c>
    </row>
    <row r="218" spans="1:16" ht="50.1" customHeight="1" x14ac:dyDescent="0.2">
      <c r="A218" s="5" t="s">
        <v>5729</v>
      </c>
      <c r="B218" s="5" t="s">
        <v>368</v>
      </c>
      <c r="C218" s="5" t="s">
        <v>1880</v>
      </c>
      <c r="D218" s="5" t="s">
        <v>1871</v>
      </c>
      <c r="E218" s="8">
        <v>2</v>
      </c>
      <c r="F218" s="5" t="s">
        <v>116</v>
      </c>
      <c r="G218" s="5" t="s">
        <v>5730</v>
      </c>
      <c r="H218" s="5" t="s">
        <v>362</v>
      </c>
      <c r="I218" s="5"/>
      <c r="J218" s="5"/>
      <c r="K218" s="8"/>
      <c r="L218" s="8"/>
      <c r="M218" s="5"/>
      <c r="N218" s="5" t="s">
        <v>364</v>
      </c>
      <c r="O218" s="5" t="s">
        <v>6115</v>
      </c>
      <c r="P218" s="5" t="s">
        <v>5728</v>
      </c>
    </row>
    <row r="219" spans="1:16" ht="50.1" customHeight="1" x14ac:dyDescent="0.2">
      <c r="A219" s="5" t="s">
        <v>42</v>
      </c>
      <c r="B219" s="5" t="s">
        <v>376</v>
      </c>
      <c r="C219" s="5" t="s">
        <v>1885</v>
      </c>
      <c r="D219" s="5" t="s">
        <v>1871</v>
      </c>
      <c r="E219" s="8">
        <v>3</v>
      </c>
      <c r="F219" s="5" t="s">
        <v>117</v>
      </c>
      <c r="G219" s="5" t="s">
        <v>2002</v>
      </c>
      <c r="H219" s="5" t="s">
        <v>362</v>
      </c>
      <c r="I219" s="5"/>
      <c r="J219" s="5"/>
      <c r="K219" s="8"/>
      <c r="L219" s="8"/>
      <c r="M219" s="5"/>
      <c r="N219" s="5" t="s">
        <v>382</v>
      </c>
      <c r="O219" s="5" t="s">
        <v>6116</v>
      </c>
      <c r="P219" s="5" t="s">
        <v>5733</v>
      </c>
    </row>
    <row r="220" spans="1:16" ht="50.1" customHeight="1" x14ac:dyDescent="0.2">
      <c r="A220" s="5" t="s">
        <v>3</v>
      </c>
      <c r="B220" s="5" t="s">
        <v>1888</v>
      </c>
      <c r="C220" s="5" t="s">
        <v>1891</v>
      </c>
      <c r="D220" s="5" t="s">
        <v>1871</v>
      </c>
      <c r="E220" s="8">
        <v>4</v>
      </c>
      <c r="F220" s="5" t="s">
        <v>5564</v>
      </c>
      <c r="G220" s="5" t="s">
        <v>2002</v>
      </c>
      <c r="H220" s="5" t="s">
        <v>362</v>
      </c>
      <c r="I220" s="5"/>
      <c r="J220" s="5"/>
      <c r="K220" s="8"/>
      <c r="L220" s="8"/>
      <c r="M220" s="5"/>
      <c r="N220" s="5" t="s">
        <v>364</v>
      </c>
      <c r="O220" s="5" t="s">
        <v>6117</v>
      </c>
      <c r="P220" s="5" t="s">
        <v>5728</v>
      </c>
    </row>
    <row r="221" spans="1:16" ht="50.1" customHeight="1" x14ac:dyDescent="0.2">
      <c r="A221" s="5" t="s">
        <v>6118</v>
      </c>
      <c r="B221" s="5" t="s">
        <v>1896</v>
      </c>
      <c r="C221" s="5" t="s">
        <v>1899</v>
      </c>
      <c r="D221" s="5" t="s">
        <v>1871</v>
      </c>
      <c r="E221" s="8">
        <v>5</v>
      </c>
      <c r="F221" s="5" t="s">
        <v>5565</v>
      </c>
      <c r="G221" s="5" t="s">
        <v>2002</v>
      </c>
      <c r="H221" s="5" t="s">
        <v>362</v>
      </c>
      <c r="I221" s="5"/>
      <c r="J221" s="5"/>
      <c r="K221" s="8"/>
      <c r="L221" s="8"/>
      <c r="M221" s="5"/>
      <c r="N221" s="5" t="s">
        <v>364</v>
      </c>
      <c r="O221" s="5" t="s">
        <v>6119</v>
      </c>
      <c r="P221" s="5" t="s">
        <v>5728</v>
      </c>
    </row>
    <row r="222" spans="1:16" ht="50.1" customHeight="1" x14ac:dyDescent="0.2">
      <c r="A222" s="5" t="s">
        <v>6120</v>
      </c>
      <c r="B222" s="5" t="s">
        <v>1904</v>
      </c>
      <c r="C222" s="5" t="s">
        <v>1907</v>
      </c>
      <c r="D222" s="5" t="s">
        <v>1871</v>
      </c>
      <c r="E222" s="8">
        <v>6</v>
      </c>
      <c r="F222" s="5" t="s">
        <v>5566</v>
      </c>
      <c r="G222" s="5" t="s">
        <v>5769</v>
      </c>
      <c r="H222" s="5" t="s">
        <v>362</v>
      </c>
      <c r="I222" s="5" t="s">
        <v>5770</v>
      </c>
      <c r="J222" s="5"/>
      <c r="K222" s="8"/>
      <c r="L222" s="8"/>
      <c r="M222" s="5"/>
      <c r="N222" s="5" t="s">
        <v>514</v>
      </c>
      <c r="O222" s="5" t="s">
        <v>6121</v>
      </c>
      <c r="P222" s="5" t="s">
        <v>5728</v>
      </c>
    </row>
    <row r="223" spans="1:16" ht="50.1" customHeight="1" x14ac:dyDescent="0.2">
      <c r="A223" s="5" t="s">
        <v>6122</v>
      </c>
      <c r="B223" s="5" t="s">
        <v>1911</v>
      </c>
      <c r="C223" s="5" t="s">
        <v>1914</v>
      </c>
      <c r="D223" s="5" t="s">
        <v>1871</v>
      </c>
      <c r="E223" s="8">
        <v>7</v>
      </c>
      <c r="F223" s="5" t="s">
        <v>5567</v>
      </c>
      <c r="G223" s="5" t="s">
        <v>5730</v>
      </c>
      <c r="H223" s="5" t="s">
        <v>362</v>
      </c>
      <c r="I223" s="5"/>
      <c r="J223" s="5"/>
      <c r="K223" s="8"/>
      <c r="L223" s="8"/>
      <c r="M223" s="5"/>
      <c r="N223" s="5" t="s">
        <v>364</v>
      </c>
      <c r="O223" s="5" t="s">
        <v>6123</v>
      </c>
      <c r="P223" s="5" t="s">
        <v>5728</v>
      </c>
    </row>
    <row r="224" spans="1:16" ht="50.1" customHeight="1" x14ac:dyDescent="0.2">
      <c r="A224" s="5" t="s">
        <v>6124</v>
      </c>
      <c r="B224" s="5" t="s">
        <v>1919</v>
      </c>
      <c r="C224" s="5" t="s">
        <v>1922</v>
      </c>
      <c r="D224" s="5" t="s">
        <v>1871</v>
      </c>
      <c r="E224" s="8">
        <v>8</v>
      </c>
      <c r="F224" s="5" t="s">
        <v>5568</v>
      </c>
      <c r="G224" s="5" t="s">
        <v>5730</v>
      </c>
      <c r="H224" s="5" t="s">
        <v>362</v>
      </c>
      <c r="I224" s="5"/>
      <c r="J224" s="5"/>
      <c r="K224" s="8"/>
      <c r="L224" s="8"/>
      <c r="M224" s="5"/>
      <c r="N224" s="5" t="s">
        <v>364</v>
      </c>
      <c r="O224" s="5" t="s">
        <v>6125</v>
      </c>
      <c r="P224" s="5" t="s">
        <v>5728</v>
      </c>
    </row>
    <row r="225" spans="1:16" ht="50.1" customHeight="1" x14ac:dyDescent="0.2">
      <c r="A225" s="5" t="s">
        <v>6126</v>
      </c>
      <c r="B225" s="5" t="s">
        <v>1927</v>
      </c>
      <c r="C225" s="5" t="s">
        <v>1930</v>
      </c>
      <c r="D225" s="5" t="s">
        <v>1871</v>
      </c>
      <c r="E225" s="8">
        <v>9</v>
      </c>
      <c r="F225" s="5" t="s">
        <v>5569</v>
      </c>
      <c r="G225" s="5" t="s">
        <v>5730</v>
      </c>
      <c r="H225" s="5" t="s">
        <v>362</v>
      </c>
      <c r="I225" s="5"/>
      <c r="J225" s="5"/>
      <c r="K225" s="8"/>
      <c r="L225" s="8"/>
      <c r="M225" s="5"/>
      <c r="N225" s="5" t="s">
        <v>364</v>
      </c>
      <c r="O225" s="5" t="s">
        <v>6127</v>
      </c>
      <c r="P225" s="5" t="s">
        <v>5728</v>
      </c>
    </row>
    <row r="226" spans="1:16" ht="50.1" customHeight="1" x14ac:dyDescent="0.2">
      <c r="A226" s="5" t="s">
        <v>6128</v>
      </c>
      <c r="B226" s="5" t="s">
        <v>1935</v>
      </c>
      <c r="C226" s="5" t="s">
        <v>1938</v>
      </c>
      <c r="D226" s="5" t="s">
        <v>1871</v>
      </c>
      <c r="E226" s="8">
        <v>10</v>
      </c>
      <c r="F226" s="5" t="s">
        <v>5570</v>
      </c>
      <c r="G226" s="5" t="s">
        <v>5730</v>
      </c>
      <c r="H226" s="5" t="s">
        <v>362</v>
      </c>
      <c r="I226" s="5"/>
      <c r="J226" s="5"/>
      <c r="K226" s="8"/>
      <c r="L226" s="8"/>
      <c r="M226" s="5"/>
      <c r="N226" s="5" t="s">
        <v>364</v>
      </c>
      <c r="O226" s="5" t="s">
        <v>6129</v>
      </c>
      <c r="P226" s="5" t="s">
        <v>5728</v>
      </c>
    </row>
    <row r="227" spans="1:16" ht="50.1" customHeight="1" x14ac:dyDescent="0.2">
      <c r="A227" s="5" t="s">
        <v>6130</v>
      </c>
      <c r="B227" s="5" t="s">
        <v>1943</v>
      </c>
      <c r="C227" s="5" t="s">
        <v>1946</v>
      </c>
      <c r="D227" s="5" t="s">
        <v>1871</v>
      </c>
      <c r="E227" s="8">
        <v>11</v>
      </c>
      <c r="F227" s="5" t="s">
        <v>5571</v>
      </c>
      <c r="G227" s="5" t="s">
        <v>5730</v>
      </c>
      <c r="H227" s="5" t="s">
        <v>362</v>
      </c>
      <c r="I227" s="5"/>
      <c r="J227" s="5"/>
      <c r="K227" s="8"/>
      <c r="L227" s="8"/>
      <c r="M227" s="5"/>
      <c r="N227" s="5" t="s">
        <v>364</v>
      </c>
      <c r="O227" s="5" t="s">
        <v>6131</v>
      </c>
      <c r="P227" s="5" t="s">
        <v>5728</v>
      </c>
    </row>
    <row r="228" spans="1:16" ht="50.1" customHeight="1" x14ac:dyDescent="0.2">
      <c r="A228" s="5" t="s">
        <v>51</v>
      </c>
      <c r="B228" s="5" t="s">
        <v>565</v>
      </c>
      <c r="C228" s="5" t="s">
        <v>1953</v>
      </c>
      <c r="D228" s="5" t="s">
        <v>1871</v>
      </c>
      <c r="E228" s="8">
        <v>12</v>
      </c>
      <c r="F228" s="5" t="s">
        <v>175</v>
      </c>
      <c r="G228" s="5" t="s">
        <v>5784</v>
      </c>
      <c r="H228" s="5" t="s">
        <v>362</v>
      </c>
      <c r="I228" s="5" t="s">
        <v>5785</v>
      </c>
      <c r="J228" s="5" t="s">
        <v>668</v>
      </c>
      <c r="K228" s="8">
        <v>1</v>
      </c>
      <c r="L228" s="8"/>
      <c r="M228" s="5"/>
      <c r="N228" s="5" t="s">
        <v>571</v>
      </c>
      <c r="O228" s="5" t="s">
        <v>6132</v>
      </c>
      <c r="P228" s="5" t="s">
        <v>5737</v>
      </c>
    </row>
    <row r="229" spans="1:16" ht="50.1" customHeight="1" x14ac:dyDescent="0.2">
      <c r="A229" s="5" t="s">
        <v>47</v>
      </c>
      <c r="B229" s="5" t="s">
        <v>356</v>
      </c>
      <c r="C229" s="5" t="s">
        <v>1964</v>
      </c>
      <c r="D229" s="5" t="s">
        <v>1959</v>
      </c>
      <c r="E229" s="8">
        <v>1</v>
      </c>
      <c r="F229" s="5" t="s">
        <v>115</v>
      </c>
      <c r="G229" s="5" t="s">
        <v>2002</v>
      </c>
      <c r="H229" s="5" t="s">
        <v>362</v>
      </c>
      <c r="I229" s="5"/>
      <c r="J229" s="5"/>
      <c r="K229" s="8"/>
      <c r="L229" s="8"/>
      <c r="M229" s="5"/>
      <c r="N229" s="5" t="s">
        <v>364</v>
      </c>
      <c r="O229" s="5" t="s">
        <v>6133</v>
      </c>
      <c r="P229" s="5" t="s">
        <v>5728</v>
      </c>
    </row>
    <row r="230" spans="1:16" ht="50.1" customHeight="1" x14ac:dyDescent="0.2">
      <c r="A230" s="5" t="s">
        <v>5729</v>
      </c>
      <c r="B230" s="5" t="s">
        <v>368</v>
      </c>
      <c r="C230" s="5" t="s">
        <v>1969</v>
      </c>
      <c r="D230" s="5" t="s">
        <v>1959</v>
      </c>
      <c r="E230" s="8">
        <v>2</v>
      </c>
      <c r="F230" s="5" t="s">
        <v>116</v>
      </c>
      <c r="G230" s="5" t="s">
        <v>5730</v>
      </c>
      <c r="H230" s="5" t="s">
        <v>362</v>
      </c>
      <c r="I230" s="5"/>
      <c r="J230" s="5"/>
      <c r="K230" s="8"/>
      <c r="L230" s="8"/>
      <c r="M230" s="5"/>
      <c r="N230" s="5" t="s">
        <v>364</v>
      </c>
      <c r="O230" s="5" t="s">
        <v>6134</v>
      </c>
      <c r="P230" s="5" t="s">
        <v>5728</v>
      </c>
    </row>
    <row r="231" spans="1:16" ht="50.1" customHeight="1" x14ac:dyDescent="0.2">
      <c r="A231" s="5" t="s">
        <v>42</v>
      </c>
      <c r="B231" s="5" t="s">
        <v>376</v>
      </c>
      <c r="C231" s="5" t="s">
        <v>1974</v>
      </c>
      <c r="D231" s="5" t="s">
        <v>1959</v>
      </c>
      <c r="E231" s="8">
        <v>3</v>
      </c>
      <c r="F231" s="5" t="s">
        <v>117</v>
      </c>
      <c r="G231" s="5" t="s">
        <v>2002</v>
      </c>
      <c r="H231" s="5" t="s">
        <v>362</v>
      </c>
      <c r="I231" s="5"/>
      <c r="J231" s="5"/>
      <c r="K231" s="8"/>
      <c r="L231" s="8"/>
      <c r="M231" s="5"/>
      <c r="N231" s="5" t="s">
        <v>382</v>
      </c>
      <c r="O231" s="5" t="s">
        <v>6135</v>
      </c>
      <c r="P231" s="5" t="s">
        <v>5733</v>
      </c>
    </row>
    <row r="232" spans="1:16" ht="50.1" customHeight="1" x14ac:dyDescent="0.2">
      <c r="A232" s="5" t="s">
        <v>2</v>
      </c>
      <c r="B232" s="5" t="s">
        <v>698</v>
      </c>
      <c r="C232" s="5" t="s">
        <v>1979</v>
      </c>
      <c r="D232" s="5" t="s">
        <v>1959</v>
      </c>
      <c r="E232" s="8">
        <v>4</v>
      </c>
      <c r="F232" s="5" t="s">
        <v>5714</v>
      </c>
      <c r="G232" s="5" t="s">
        <v>5735</v>
      </c>
      <c r="H232" s="5" t="s">
        <v>362</v>
      </c>
      <c r="I232" s="5"/>
      <c r="J232" s="5" t="s">
        <v>1871</v>
      </c>
      <c r="K232" s="8">
        <v>1</v>
      </c>
      <c r="L232" s="8">
        <v>1</v>
      </c>
      <c r="M232" s="5"/>
      <c r="N232" s="5" t="s">
        <v>392</v>
      </c>
      <c r="O232" s="5" t="s">
        <v>6136</v>
      </c>
      <c r="P232" s="5" t="s">
        <v>5737</v>
      </c>
    </row>
    <row r="233" spans="1:16" ht="50.1" customHeight="1" x14ac:dyDescent="0.2">
      <c r="A233" s="5" t="s">
        <v>6137</v>
      </c>
      <c r="B233" s="5" t="s">
        <v>1982</v>
      </c>
      <c r="C233" s="5" t="s">
        <v>1985</v>
      </c>
      <c r="D233" s="5" t="s">
        <v>1959</v>
      </c>
      <c r="E233" s="8">
        <v>5</v>
      </c>
      <c r="F233" s="5" t="s">
        <v>5715</v>
      </c>
      <c r="G233" s="5" t="s">
        <v>5769</v>
      </c>
      <c r="H233" s="5" t="s">
        <v>362</v>
      </c>
      <c r="I233" s="5" t="s">
        <v>5770</v>
      </c>
      <c r="J233" s="5"/>
      <c r="K233" s="8"/>
      <c r="L233" s="8"/>
      <c r="M233" s="5"/>
      <c r="N233" s="5" t="s">
        <v>514</v>
      </c>
      <c r="O233" s="5" t="s">
        <v>6138</v>
      </c>
      <c r="P233" s="5" t="s">
        <v>5728</v>
      </c>
    </row>
    <row r="234" spans="1:16" ht="50.1" customHeight="1" x14ac:dyDescent="0.2">
      <c r="A234" s="5" t="s">
        <v>6118</v>
      </c>
      <c r="B234" s="5" t="s">
        <v>1989</v>
      </c>
      <c r="C234" s="5" t="s">
        <v>1992</v>
      </c>
      <c r="D234" s="5" t="s">
        <v>1959</v>
      </c>
      <c r="E234" s="8">
        <v>6</v>
      </c>
      <c r="F234" s="5" t="s">
        <v>5716</v>
      </c>
      <c r="G234" s="5" t="s">
        <v>2002</v>
      </c>
      <c r="H234" s="5" t="s">
        <v>362</v>
      </c>
      <c r="I234" s="5"/>
      <c r="J234" s="5"/>
      <c r="K234" s="8"/>
      <c r="L234" s="8"/>
      <c r="M234" s="5"/>
      <c r="N234" s="5" t="s">
        <v>364</v>
      </c>
      <c r="O234" s="5" t="s">
        <v>6139</v>
      </c>
      <c r="P234" s="5" t="s">
        <v>5728</v>
      </c>
    </row>
    <row r="235" spans="1:16" ht="50.1" customHeight="1" x14ac:dyDescent="0.2">
      <c r="A235" s="5" t="s">
        <v>6140</v>
      </c>
      <c r="B235" s="5" t="s">
        <v>1996</v>
      </c>
      <c r="C235" s="5" t="s">
        <v>1999</v>
      </c>
      <c r="D235" s="5" t="s">
        <v>1959</v>
      </c>
      <c r="E235" s="8">
        <v>7</v>
      </c>
      <c r="F235" s="5" t="s">
        <v>5717</v>
      </c>
      <c r="G235" s="5" t="s">
        <v>5739</v>
      </c>
      <c r="H235" s="5" t="s">
        <v>362</v>
      </c>
      <c r="I235" s="5" t="s">
        <v>6141</v>
      </c>
      <c r="J235" s="5"/>
      <c r="K235" s="8"/>
      <c r="L235" s="8"/>
      <c r="M235" s="5"/>
      <c r="N235" s="5" t="s">
        <v>402</v>
      </c>
      <c r="O235" s="5" t="s">
        <v>6142</v>
      </c>
      <c r="P235" s="5" t="s">
        <v>5728</v>
      </c>
    </row>
    <row r="236" spans="1:16" ht="50.1" customHeight="1" x14ac:dyDescent="0.2">
      <c r="A236" s="5" t="s">
        <v>5821</v>
      </c>
      <c r="B236" s="5" t="s">
        <v>724</v>
      </c>
      <c r="C236" s="5" t="s">
        <v>2006</v>
      </c>
      <c r="D236" s="5" t="s">
        <v>1959</v>
      </c>
      <c r="E236" s="8">
        <v>8</v>
      </c>
      <c r="F236" s="5" t="s">
        <v>5718</v>
      </c>
      <c r="G236" s="5" t="s">
        <v>5730</v>
      </c>
      <c r="H236" s="5" t="s">
        <v>362</v>
      </c>
      <c r="I236" s="5"/>
      <c r="J236" s="5"/>
      <c r="K236" s="8"/>
      <c r="L236" s="8"/>
      <c r="M236" s="5"/>
      <c r="N236" s="5" t="s">
        <v>364</v>
      </c>
      <c r="O236" s="5" t="s">
        <v>6143</v>
      </c>
      <c r="P236" s="5" t="s">
        <v>5728</v>
      </c>
    </row>
    <row r="237" spans="1:16" ht="50.1" customHeight="1" x14ac:dyDescent="0.2">
      <c r="A237" s="5" t="s">
        <v>6144</v>
      </c>
      <c r="B237" s="5" t="s">
        <v>2009</v>
      </c>
      <c r="C237" s="5" t="s">
        <v>2012</v>
      </c>
      <c r="D237" s="5" t="s">
        <v>1959</v>
      </c>
      <c r="E237" s="8">
        <v>9</v>
      </c>
      <c r="F237" s="5" t="s">
        <v>5719</v>
      </c>
      <c r="G237" s="5" t="s">
        <v>5730</v>
      </c>
      <c r="H237" s="5" t="s">
        <v>362</v>
      </c>
      <c r="I237" s="5"/>
      <c r="J237" s="5"/>
      <c r="K237" s="8"/>
      <c r="L237" s="8"/>
      <c r="M237" s="5"/>
      <c r="N237" s="5" t="s">
        <v>364</v>
      </c>
      <c r="O237" s="5" t="s">
        <v>6145</v>
      </c>
      <c r="P237" s="5" t="s">
        <v>5728</v>
      </c>
    </row>
    <row r="238" spans="1:16" ht="50.1" customHeight="1" x14ac:dyDescent="0.2">
      <c r="A238" s="5" t="s">
        <v>6146</v>
      </c>
      <c r="B238" s="5" t="s">
        <v>698</v>
      </c>
      <c r="C238" s="5" t="s">
        <v>2019</v>
      </c>
      <c r="D238" s="5" t="s">
        <v>1959</v>
      </c>
      <c r="E238" s="8">
        <v>10</v>
      </c>
      <c r="F238" s="5" t="s">
        <v>5720</v>
      </c>
      <c r="G238" s="5" t="s">
        <v>5735</v>
      </c>
      <c r="H238" s="5" t="s">
        <v>390</v>
      </c>
      <c r="I238" s="5"/>
      <c r="J238" s="5" t="s">
        <v>1871</v>
      </c>
      <c r="K238" s="8">
        <v>0</v>
      </c>
      <c r="L238" s="8">
        <v>1</v>
      </c>
      <c r="M238" s="5"/>
      <c r="N238" s="5" t="s">
        <v>392</v>
      </c>
      <c r="O238" s="5" t="s">
        <v>6147</v>
      </c>
      <c r="P238" s="5" t="s">
        <v>5737</v>
      </c>
    </row>
    <row r="239" spans="1:16" ht="50.1" customHeight="1" x14ac:dyDescent="0.2">
      <c r="A239" s="5" t="s">
        <v>6148</v>
      </c>
      <c r="B239" s="5" t="s">
        <v>2022</v>
      </c>
      <c r="C239" s="5" t="s">
        <v>2025</v>
      </c>
      <c r="D239" s="5" t="s">
        <v>1959</v>
      </c>
      <c r="E239" s="8">
        <v>11</v>
      </c>
      <c r="F239" s="5" t="s">
        <v>5721</v>
      </c>
      <c r="G239" s="5" t="s">
        <v>5769</v>
      </c>
      <c r="H239" s="5" t="s">
        <v>390</v>
      </c>
      <c r="I239" s="5" t="s">
        <v>5770</v>
      </c>
      <c r="J239" s="5"/>
      <c r="K239" s="8"/>
      <c r="L239" s="8"/>
      <c r="M239" s="5"/>
      <c r="N239" s="5" t="s">
        <v>514</v>
      </c>
      <c r="O239" s="5" t="s">
        <v>6149</v>
      </c>
      <c r="P239" s="5" t="s">
        <v>5728</v>
      </c>
    </row>
    <row r="240" spans="1:16" ht="50.1" customHeight="1" x14ac:dyDescent="0.2">
      <c r="A240" s="5" t="s">
        <v>6150</v>
      </c>
      <c r="B240" s="5" t="s">
        <v>2029</v>
      </c>
      <c r="C240" s="5" t="s">
        <v>2032</v>
      </c>
      <c r="D240" s="5" t="s">
        <v>1959</v>
      </c>
      <c r="E240" s="8">
        <v>12</v>
      </c>
      <c r="F240" s="5" t="s">
        <v>5722</v>
      </c>
      <c r="G240" s="5" t="s">
        <v>5769</v>
      </c>
      <c r="H240" s="5" t="s">
        <v>390</v>
      </c>
      <c r="I240" s="5" t="s">
        <v>5770</v>
      </c>
      <c r="J240" s="5"/>
      <c r="K240" s="8"/>
      <c r="L240" s="8"/>
      <c r="M240" s="5"/>
      <c r="N240" s="5" t="s">
        <v>514</v>
      </c>
      <c r="O240" s="5" t="s">
        <v>6151</v>
      </c>
      <c r="P240" s="5" t="s">
        <v>5728</v>
      </c>
    </row>
    <row r="241" spans="1:16" ht="50.1" customHeight="1" x14ac:dyDescent="0.2">
      <c r="A241" s="5" t="s">
        <v>6152</v>
      </c>
      <c r="B241" s="5" t="s">
        <v>2036</v>
      </c>
      <c r="C241" s="5" t="s">
        <v>2039</v>
      </c>
      <c r="D241" s="5" t="s">
        <v>1959</v>
      </c>
      <c r="E241" s="8">
        <v>13</v>
      </c>
      <c r="F241" s="5" t="s">
        <v>5723</v>
      </c>
      <c r="G241" s="5" t="s">
        <v>5730</v>
      </c>
      <c r="H241" s="5" t="s">
        <v>390</v>
      </c>
      <c r="I241" s="5"/>
      <c r="J241" s="5"/>
      <c r="K241" s="8"/>
      <c r="L241" s="8"/>
      <c r="M241" s="5"/>
      <c r="N241" s="5" t="s">
        <v>364</v>
      </c>
      <c r="O241" s="5" t="s">
        <v>6153</v>
      </c>
      <c r="P241" s="5" t="s">
        <v>5728</v>
      </c>
    </row>
    <row r="242" spans="1:16" ht="50.1" customHeight="1" x14ac:dyDescent="0.2">
      <c r="A242" s="5" t="s">
        <v>6154</v>
      </c>
      <c r="B242" s="5" t="s">
        <v>2044</v>
      </c>
      <c r="C242" s="5" t="s">
        <v>2047</v>
      </c>
      <c r="D242" s="5" t="s">
        <v>1959</v>
      </c>
      <c r="E242" s="8">
        <v>14</v>
      </c>
      <c r="F242" s="5" t="s">
        <v>5724</v>
      </c>
      <c r="G242" s="5" t="s">
        <v>5730</v>
      </c>
      <c r="H242" s="5" t="s">
        <v>362</v>
      </c>
      <c r="I242" s="5"/>
      <c r="J242" s="5"/>
      <c r="K242" s="8"/>
      <c r="L242" s="8"/>
      <c r="M242" s="5"/>
      <c r="N242" s="5" t="s">
        <v>364</v>
      </c>
      <c r="O242" s="5" t="s">
        <v>6155</v>
      </c>
      <c r="P242" s="5" t="s">
        <v>5728</v>
      </c>
    </row>
    <row r="243" spans="1:16" ht="50.1" customHeight="1" x14ac:dyDescent="0.2">
      <c r="A243" s="5" t="s">
        <v>51</v>
      </c>
      <c r="B243" s="5" t="s">
        <v>565</v>
      </c>
      <c r="C243" s="5" t="s">
        <v>2054</v>
      </c>
      <c r="D243" s="5" t="s">
        <v>1959</v>
      </c>
      <c r="E243" s="8">
        <v>15</v>
      </c>
      <c r="F243" s="5" t="s">
        <v>5725</v>
      </c>
      <c r="G243" s="5" t="s">
        <v>5784</v>
      </c>
      <c r="H243" s="5" t="s">
        <v>362</v>
      </c>
      <c r="I243" s="5" t="s">
        <v>5785</v>
      </c>
      <c r="J243" s="5" t="s">
        <v>668</v>
      </c>
      <c r="K243" s="8">
        <v>1</v>
      </c>
      <c r="L243" s="8"/>
      <c r="M243" s="5"/>
      <c r="N243" s="5" t="s">
        <v>571</v>
      </c>
      <c r="O243" s="5" t="s">
        <v>6156</v>
      </c>
      <c r="P243" s="5" t="s">
        <v>5737</v>
      </c>
    </row>
    <row r="244" spans="1:16" ht="50.1" customHeight="1" x14ac:dyDescent="0.2">
      <c r="A244" s="5" t="s">
        <v>6130</v>
      </c>
      <c r="B244" s="5" t="s">
        <v>2057</v>
      </c>
      <c r="C244" s="5" t="s">
        <v>2060</v>
      </c>
      <c r="D244" s="5" t="s">
        <v>1959</v>
      </c>
      <c r="E244" s="8">
        <v>16</v>
      </c>
      <c r="F244" s="5" t="s">
        <v>5726</v>
      </c>
      <c r="G244" s="5" t="s">
        <v>5730</v>
      </c>
      <c r="H244" s="5" t="s">
        <v>362</v>
      </c>
      <c r="I244" s="5"/>
      <c r="J244" s="5"/>
      <c r="K244" s="8"/>
      <c r="L244" s="8"/>
      <c r="M244" s="5"/>
      <c r="N244" s="5" t="s">
        <v>364</v>
      </c>
      <c r="O244" s="5" t="s">
        <v>6157</v>
      </c>
      <c r="P244" s="5" t="s">
        <v>5728</v>
      </c>
    </row>
    <row r="245" spans="1:16" ht="50.1" customHeight="1" x14ac:dyDescent="0.2">
      <c r="A245" s="5" t="s">
        <v>47</v>
      </c>
      <c r="B245" s="5" t="s">
        <v>356</v>
      </c>
      <c r="C245" s="5" t="s">
        <v>2072</v>
      </c>
      <c r="D245" s="5" t="s">
        <v>2067</v>
      </c>
      <c r="E245" s="8">
        <v>1</v>
      </c>
      <c r="F245" s="5" t="s">
        <v>115</v>
      </c>
      <c r="G245" s="5" t="s">
        <v>2002</v>
      </c>
      <c r="H245" s="5" t="s">
        <v>362</v>
      </c>
      <c r="I245" s="5"/>
      <c r="J245" s="5"/>
      <c r="K245" s="8"/>
      <c r="L245" s="8"/>
      <c r="M245" s="5"/>
      <c r="N245" s="5" t="s">
        <v>364</v>
      </c>
      <c r="O245" s="5" t="s">
        <v>6158</v>
      </c>
      <c r="P245" s="5" t="s">
        <v>5728</v>
      </c>
    </row>
    <row r="246" spans="1:16" ht="50.1" customHeight="1" x14ac:dyDescent="0.2">
      <c r="A246" s="5" t="s">
        <v>5729</v>
      </c>
      <c r="B246" s="5" t="s">
        <v>368</v>
      </c>
      <c r="C246" s="5" t="s">
        <v>2077</v>
      </c>
      <c r="D246" s="5" t="s">
        <v>2067</v>
      </c>
      <c r="E246" s="8">
        <v>2</v>
      </c>
      <c r="F246" s="5" t="s">
        <v>116</v>
      </c>
      <c r="G246" s="5" t="s">
        <v>5730</v>
      </c>
      <c r="H246" s="5" t="s">
        <v>362</v>
      </c>
      <c r="I246" s="5"/>
      <c r="J246" s="5"/>
      <c r="K246" s="8"/>
      <c r="L246" s="8"/>
      <c r="M246" s="5"/>
      <c r="N246" s="5" t="s">
        <v>364</v>
      </c>
      <c r="O246" s="5" t="s">
        <v>6159</v>
      </c>
      <c r="P246" s="5" t="s">
        <v>5728</v>
      </c>
    </row>
    <row r="247" spans="1:16" ht="50.1" customHeight="1" x14ac:dyDescent="0.2">
      <c r="A247" s="5" t="s">
        <v>42</v>
      </c>
      <c r="B247" s="5" t="s">
        <v>376</v>
      </c>
      <c r="C247" s="5" t="s">
        <v>2082</v>
      </c>
      <c r="D247" s="5" t="s">
        <v>2067</v>
      </c>
      <c r="E247" s="8">
        <v>3</v>
      </c>
      <c r="F247" s="5" t="s">
        <v>117</v>
      </c>
      <c r="G247" s="5" t="s">
        <v>2002</v>
      </c>
      <c r="H247" s="5" t="s">
        <v>362</v>
      </c>
      <c r="I247" s="5"/>
      <c r="J247" s="5"/>
      <c r="K247" s="8"/>
      <c r="L247" s="8"/>
      <c r="M247" s="5"/>
      <c r="N247" s="5" t="s">
        <v>382</v>
      </c>
      <c r="O247" s="5" t="s">
        <v>6160</v>
      </c>
      <c r="P247" s="5" t="s">
        <v>5733</v>
      </c>
    </row>
    <row r="248" spans="1:16" ht="50.1" customHeight="1" x14ac:dyDescent="0.2">
      <c r="A248" s="5" t="s">
        <v>6161</v>
      </c>
      <c r="B248" s="5" t="s">
        <v>2085</v>
      </c>
      <c r="C248" s="5" t="s">
        <v>2088</v>
      </c>
      <c r="D248" s="5" t="s">
        <v>2067</v>
      </c>
      <c r="E248" s="8">
        <v>4</v>
      </c>
      <c r="F248" s="5" t="s">
        <v>6162</v>
      </c>
      <c r="G248" s="5" t="s">
        <v>5735</v>
      </c>
      <c r="H248" s="5" t="s">
        <v>362</v>
      </c>
      <c r="I248" s="5"/>
      <c r="J248" s="5" t="s">
        <v>856</v>
      </c>
      <c r="K248" s="8">
        <v>1</v>
      </c>
      <c r="L248" s="8">
        <v>1</v>
      </c>
      <c r="M248" s="5"/>
      <c r="N248" s="5" t="s">
        <v>392</v>
      </c>
      <c r="O248" s="5" t="s">
        <v>6163</v>
      </c>
      <c r="P248" s="5" t="s">
        <v>5737</v>
      </c>
    </row>
    <row r="249" spans="1:16" ht="50.1" customHeight="1" x14ac:dyDescent="0.2">
      <c r="A249" s="5" t="s">
        <v>5983</v>
      </c>
      <c r="B249" s="5" t="s">
        <v>966</v>
      </c>
      <c r="C249" s="5" t="s">
        <v>2095</v>
      </c>
      <c r="D249" s="5" t="s">
        <v>2067</v>
      </c>
      <c r="E249" s="8">
        <v>5</v>
      </c>
      <c r="F249" s="5" t="s">
        <v>6164</v>
      </c>
      <c r="G249" s="5" t="s">
        <v>5735</v>
      </c>
      <c r="H249" s="5" t="s">
        <v>390</v>
      </c>
      <c r="I249" s="5"/>
      <c r="J249" s="5" t="s">
        <v>935</v>
      </c>
      <c r="K249" s="8">
        <v>0</v>
      </c>
      <c r="L249" s="8">
        <v>1</v>
      </c>
      <c r="M249" s="5"/>
      <c r="N249" s="5" t="s">
        <v>392</v>
      </c>
      <c r="O249" s="5" t="s">
        <v>6165</v>
      </c>
      <c r="P249" s="5" t="s">
        <v>5737</v>
      </c>
    </row>
    <row r="250" spans="1:16" ht="50.1" customHeight="1" x14ac:dyDescent="0.2">
      <c r="A250" s="5" t="s">
        <v>6166</v>
      </c>
      <c r="B250" s="5" t="s">
        <v>2098</v>
      </c>
      <c r="C250" s="5" t="s">
        <v>2101</v>
      </c>
      <c r="D250" s="5" t="s">
        <v>2067</v>
      </c>
      <c r="E250" s="8">
        <v>6</v>
      </c>
      <c r="F250" s="5" t="s">
        <v>6167</v>
      </c>
      <c r="G250" s="5" t="s">
        <v>2002</v>
      </c>
      <c r="H250" s="5" t="s">
        <v>362</v>
      </c>
      <c r="I250" s="5"/>
      <c r="J250" s="5"/>
      <c r="K250" s="8"/>
      <c r="L250" s="8"/>
      <c r="M250" s="5"/>
      <c r="N250" s="5" t="s">
        <v>364</v>
      </c>
      <c r="O250" s="5" t="s">
        <v>6168</v>
      </c>
      <c r="P250" s="5" t="s">
        <v>5728</v>
      </c>
    </row>
    <row r="251" spans="1:16" ht="50.1" customHeight="1" x14ac:dyDescent="0.2">
      <c r="A251" s="5" t="s">
        <v>6169</v>
      </c>
      <c r="B251" s="5" t="s">
        <v>2106</v>
      </c>
      <c r="C251" s="5" t="s">
        <v>2109</v>
      </c>
      <c r="D251" s="5" t="s">
        <v>2067</v>
      </c>
      <c r="E251" s="8">
        <v>7</v>
      </c>
      <c r="F251" s="5" t="s">
        <v>6170</v>
      </c>
      <c r="G251" s="5" t="s">
        <v>5730</v>
      </c>
      <c r="H251" s="5" t="s">
        <v>362</v>
      </c>
      <c r="I251" s="5"/>
      <c r="J251" s="5"/>
      <c r="K251" s="8"/>
      <c r="L251" s="8"/>
      <c r="M251" s="5"/>
      <c r="N251" s="5" t="s">
        <v>364</v>
      </c>
      <c r="O251" s="5" t="s">
        <v>6171</v>
      </c>
      <c r="P251" s="5" t="s">
        <v>5728</v>
      </c>
    </row>
    <row r="252" spans="1:16" ht="50.1" customHeight="1" x14ac:dyDescent="0.2">
      <c r="A252" s="5" t="s">
        <v>6172</v>
      </c>
      <c r="B252" s="5" t="s">
        <v>2114</v>
      </c>
      <c r="C252" s="5" t="s">
        <v>2117</v>
      </c>
      <c r="D252" s="5" t="s">
        <v>2067</v>
      </c>
      <c r="E252" s="8">
        <v>8</v>
      </c>
      <c r="F252" s="5" t="s">
        <v>6173</v>
      </c>
      <c r="G252" s="5" t="s">
        <v>5739</v>
      </c>
      <c r="H252" s="5" t="s">
        <v>362</v>
      </c>
      <c r="I252" s="5" t="s">
        <v>6174</v>
      </c>
      <c r="J252" s="5"/>
      <c r="K252" s="8"/>
      <c r="L252" s="8"/>
      <c r="M252" s="5"/>
      <c r="N252" s="5" t="s">
        <v>402</v>
      </c>
      <c r="O252" s="5" t="s">
        <v>6175</v>
      </c>
      <c r="P252" s="5" t="s">
        <v>5728</v>
      </c>
    </row>
    <row r="253" spans="1:16" ht="50.1" customHeight="1" x14ac:dyDescent="0.2">
      <c r="A253" s="5" t="s">
        <v>6176</v>
      </c>
      <c r="B253" s="5" t="s">
        <v>2122</v>
      </c>
      <c r="C253" s="5" t="s">
        <v>2125</v>
      </c>
      <c r="D253" s="5" t="s">
        <v>2067</v>
      </c>
      <c r="E253" s="8">
        <v>9</v>
      </c>
      <c r="F253" s="5" t="s">
        <v>6177</v>
      </c>
      <c r="G253" s="5" t="s">
        <v>5730</v>
      </c>
      <c r="H253" s="5" t="s">
        <v>362</v>
      </c>
      <c r="I253" s="5"/>
      <c r="J253" s="5"/>
      <c r="K253" s="8"/>
      <c r="L253" s="8"/>
      <c r="M253" s="5"/>
      <c r="N253" s="5" t="s">
        <v>364</v>
      </c>
      <c r="O253" s="5" t="s">
        <v>6178</v>
      </c>
      <c r="P253" s="5" t="s">
        <v>5728</v>
      </c>
    </row>
    <row r="254" spans="1:16" ht="50.1" customHeight="1" x14ac:dyDescent="0.2">
      <c r="A254" s="5" t="s">
        <v>47</v>
      </c>
      <c r="B254" s="5" t="s">
        <v>356</v>
      </c>
      <c r="C254" s="5" t="s">
        <v>2138</v>
      </c>
      <c r="D254" s="5" t="s">
        <v>2133</v>
      </c>
      <c r="E254" s="8">
        <v>1</v>
      </c>
      <c r="F254" s="5" t="s">
        <v>115</v>
      </c>
      <c r="G254" s="5" t="s">
        <v>2002</v>
      </c>
      <c r="H254" s="5" t="s">
        <v>362</v>
      </c>
      <c r="I254" s="5"/>
      <c r="J254" s="5"/>
      <c r="K254" s="8"/>
      <c r="L254" s="8"/>
      <c r="M254" s="5"/>
      <c r="N254" s="5" t="s">
        <v>364</v>
      </c>
      <c r="O254" s="5" t="s">
        <v>6179</v>
      </c>
      <c r="P254" s="5" t="s">
        <v>5728</v>
      </c>
    </row>
    <row r="255" spans="1:16" ht="50.1" customHeight="1" x14ac:dyDescent="0.2">
      <c r="A255" s="5" t="s">
        <v>5729</v>
      </c>
      <c r="B255" s="5" t="s">
        <v>368</v>
      </c>
      <c r="C255" s="5" t="s">
        <v>2143</v>
      </c>
      <c r="D255" s="5" t="s">
        <v>2133</v>
      </c>
      <c r="E255" s="8">
        <v>2</v>
      </c>
      <c r="F255" s="5" t="s">
        <v>116</v>
      </c>
      <c r="G255" s="5" t="s">
        <v>5730</v>
      </c>
      <c r="H255" s="5" t="s">
        <v>362</v>
      </c>
      <c r="I255" s="5"/>
      <c r="J255" s="5"/>
      <c r="K255" s="8"/>
      <c r="L255" s="8"/>
      <c r="M255" s="5"/>
      <c r="N255" s="5" t="s">
        <v>364</v>
      </c>
      <c r="O255" s="5" t="s">
        <v>6180</v>
      </c>
      <c r="P255" s="5" t="s">
        <v>5728</v>
      </c>
    </row>
    <row r="256" spans="1:16" ht="50.1" customHeight="1" x14ac:dyDescent="0.2">
      <c r="A256" s="5" t="s">
        <v>42</v>
      </c>
      <c r="B256" s="5" t="s">
        <v>376</v>
      </c>
      <c r="C256" s="5" t="s">
        <v>2148</v>
      </c>
      <c r="D256" s="5" t="s">
        <v>2133</v>
      </c>
      <c r="E256" s="8">
        <v>3</v>
      </c>
      <c r="F256" s="5" t="s">
        <v>117</v>
      </c>
      <c r="G256" s="5" t="s">
        <v>2002</v>
      </c>
      <c r="H256" s="5" t="s">
        <v>362</v>
      </c>
      <c r="I256" s="5"/>
      <c r="J256" s="5"/>
      <c r="K256" s="8"/>
      <c r="L256" s="8"/>
      <c r="M256" s="5"/>
      <c r="N256" s="5" t="s">
        <v>382</v>
      </c>
      <c r="O256" s="5" t="s">
        <v>6181</v>
      </c>
      <c r="P256" s="5" t="s">
        <v>5733</v>
      </c>
    </row>
    <row r="257" spans="1:16" ht="50.1" customHeight="1" x14ac:dyDescent="0.2">
      <c r="A257" s="5" t="s">
        <v>5957</v>
      </c>
      <c r="B257" s="5" t="s">
        <v>1295</v>
      </c>
      <c r="C257" s="5" t="s">
        <v>2153</v>
      </c>
      <c r="D257" s="5" t="s">
        <v>2133</v>
      </c>
      <c r="E257" s="8">
        <v>4</v>
      </c>
      <c r="F257" s="5" t="s">
        <v>6182</v>
      </c>
      <c r="G257" s="5" t="s">
        <v>5735</v>
      </c>
      <c r="H257" s="5" t="s">
        <v>362</v>
      </c>
      <c r="I257" s="5"/>
      <c r="J257" s="5" t="s">
        <v>1016</v>
      </c>
      <c r="K257" s="8">
        <v>1</v>
      </c>
      <c r="L257" s="8">
        <v>1</v>
      </c>
      <c r="M257" s="5"/>
      <c r="N257" s="5" t="s">
        <v>392</v>
      </c>
      <c r="O257" s="5" t="s">
        <v>6183</v>
      </c>
      <c r="P257" s="5" t="s">
        <v>5737</v>
      </c>
    </row>
    <row r="258" spans="1:16" ht="50.1" customHeight="1" x14ac:dyDescent="0.2">
      <c r="A258" s="5" t="s">
        <v>5983</v>
      </c>
      <c r="B258" s="5" t="s">
        <v>966</v>
      </c>
      <c r="C258" s="5" t="s">
        <v>2158</v>
      </c>
      <c r="D258" s="5" t="s">
        <v>2133</v>
      </c>
      <c r="E258" s="8">
        <v>5</v>
      </c>
      <c r="F258" s="5" t="s">
        <v>6164</v>
      </c>
      <c r="G258" s="5" t="s">
        <v>5735</v>
      </c>
      <c r="H258" s="5" t="s">
        <v>390</v>
      </c>
      <c r="I258" s="5"/>
      <c r="J258" s="5" t="s">
        <v>935</v>
      </c>
      <c r="K258" s="8">
        <v>0</v>
      </c>
      <c r="L258" s="8">
        <v>1</v>
      </c>
      <c r="M258" s="5"/>
      <c r="N258" s="5" t="s">
        <v>392</v>
      </c>
      <c r="O258" s="5" t="s">
        <v>6184</v>
      </c>
      <c r="P258" s="5" t="s">
        <v>5737</v>
      </c>
    </row>
    <row r="259" spans="1:16" ht="50.1" customHeight="1" x14ac:dyDescent="0.2">
      <c r="A259" s="5" t="s">
        <v>6185</v>
      </c>
      <c r="B259" s="5" t="s">
        <v>2161</v>
      </c>
      <c r="C259" s="5" t="s">
        <v>2164</v>
      </c>
      <c r="D259" s="5" t="s">
        <v>2133</v>
      </c>
      <c r="E259" s="8">
        <v>6</v>
      </c>
      <c r="F259" s="5" t="s">
        <v>6186</v>
      </c>
      <c r="G259" s="5" t="s">
        <v>2002</v>
      </c>
      <c r="H259" s="5" t="s">
        <v>362</v>
      </c>
      <c r="I259" s="5"/>
      <c r="J259" s="5"/>
      <c r="K259" s="8"/>
      <c r="L259" s="8"/>
      <c r="M259" s="5"/>
      <c r="N259" s="5" t="s">
        <v>364</v>
      </c>
      <c r="O259" s="5" t="s">
        <v>6187</v>
      </c>
      <c r="P259" s="5" t="s">
        <v>5728</v>
      </c>
    </row>
    <row r="260" spans="1:16" ht="50.1" customHeight="1" x14ac:dyDescent="0.2">
      <c r="A260" s="5" t="s">
        <v>6188</v>
      </c>
      <c r="B260" s="5" t="s">
        <v>2169</v>
      </c>
      <c r="C260" s="5" t="s">
        <v>2172</v>
      </c>
      <c r="D260" s="5" t="s">
        <v>2133</v>
      </c>
      <c r="E260" s="8">
        <v>7</v>
      </c>
      <c r="F260" s="5" t="s">
        <v>6189</v>
      </c>
      <c r="G260" s="5" t="s">
        <v>5730</v>
      </c>
      <c r="H260" s="5" t="s">
        <v>362</v>
      </c>
      <c r="I260" s="5"/>
      <c r="J260" s="5"/>
      <c r="K260" s="8"/>
      <c r="L260" s="8"/>
      <c r="M260" s="5"/>
      <c r="N260" s="5" t="s">
        <v>364</v>
      </c>
      <c r="O260" s="5" t="s">
        <v>6190</v>
      </c>
      <c r="P260" s="5" t="s">
        <v>5728</v>
      </c>
    </row>
    <row r="261" spans="1:16" ht="50.1" customHeight="1" x14ac:dyDescent="0.2">
      <c r="A261" s="5" t="s">
        <v>47</v>
      </c>
      <c r="B261" s="5" t="s">
        <v>356</v>
      </c>
      <c r="C261" s="5" t="s">
        <v>2185</v>
      </c>
      <c r="D261" s="5" t="s">
        <v>2180</v>
      </c>
      <c r="E261" s="8">
        <v>1</v>
      </c>
      <c r="F261" s="5" t="s">
        <v>115</v>
      </c>
      <c r="G261" s="5" t="s">
        <v>2002</v>
      </c>
      <c r="H261" s="5" t="s">
        <v>362</v>
      </c>
      <c r="I261" s="5"/>
      <c r="J261" s="5"/>
      <c r="K261" s="8"/>
      <c r="L261" s="8"/>
      <c r="M261" s="5"/>
      <c r="N261" s="5" t="s">
        <v>364</v>
      </c>
      <c r="O261" s="5" t="s">
        <v>6191</v>
      </c>
      <c r="P261" s="5" t="s">
        <v>5728</v>
      </c>
    </row>
    <row r="262" spans="1:16" ht="50.1" customHeight="1" x14ac:dyDescent="0.2">
      <c r="A262" s="5" t="s">
        <v>5729</v>
      </c>
      <c r="B262" s="5" t="s">
        <v>368</v>
      </c>
      <c r="C262" s="5" t="s">
        <v>2190</v>
      </c>
      <c r="D262" s="5" t="s">
        <v>2180</v>
      </c>
      <c r="E262" s="8">
        <v>2</v>
      </c>
      <c r="F262" s="5" t="s">
        <v>116</v>
      </c>
      <c r="G262" s="5" t="s">
        <v>5730</v>
      </c>
      <c r="H262" s="5" t="s">
        <v>362</v>
      </c>
      <c r="I262" s="5"/>
      <c r="J262" s="5"/>
      <c r="K262" s="8"/>
      <c r="L262" s="8"/>
      <c r="M262" s="5"/>
      <c r="N262" s="5" t="s">
        <v>364</v>
      </c>
      <c r="O262" s="5" t="s">
        <v>6192</v>
      </c>
      <c r="P262" s="5" t="s">
        <v>5728</v>
      </c>
    </row>
    <row r="263" spans="1:16" ht="50.1" customHeight="1" x14ac:dyDescent="0.2">
      <c r="A263" s="5" t="s">
        <v>42</v>
      </c>
      <c r="B263" s="5" t="s">
        <v>376</v>
      </c>
      <c r="C263" s="5" t="s">
        <v>2195</v>
      </c>
      <c r="D263" s="5" t="s">
        <v>2180</v>
      </c>
      <c r="E263" s="8">
        <v>3</v>
      </c>
      <c r="F263" s="5" t="s">
        <v>117</v>
      </c>
      <c r="G263" s="5" t="s">
        <v>2002</v>
      </c>
      <c r="H263" s="5" t="s">
        <v>362</v>
      </c>
      <c r="I263" s="5"/>
      <c r="J263" s="5"/>
      <c r="K263" s="8"/>
      <c r="L263" s="8"/>
      <c r="M263" s="5"/>
      <c r="N263" s="5" t="s">
        <v>382</v>
      </c>
      <c r="O263" s="5" t="s">
        <v>6193</v>
      </c>
      <c r="P263" s="5" t="s">
        <v>5733</v>
      </c>
    </row>
    <row r="264" spans="1:16" ht="50.1" customHeight="1" x14ac:dyDescent="0.2">
      <c r="A264" s="5" t="s">
        <v>5957</v>
      </c>
      <c r="B264" s="5" t="s">
        <v>1295</v>
      </c>
      <c r="C264" s="5" t="s">
        <v>2200</v>
      </c>
      <c r="D264" s="5" t="s">
        <v>2180</v>
      </c>
      <c r="E264" s="8">
        <v>4</v>
      </c>
      <c r="F264" s="5" t="s">
        <v>6182</v>
      </c>
      <c r="G264" s="5" t="s">
        <v>5735</v>
      </c>
      <c r="H264" s="5" t="s">
        <v>362</v>
      </c>
      <c r="I264" s="5"/>
      <c r="J264" s="5" t="s">
        <v>1016</v>
      </c>
      <c r="K264" s="8">
        <v>1</v>
      </c>
      <c r="L264" s="8">
        <v>1</v>
      </c>
      <c r="M264" s="5"/>
      <c r="N264" s="5" t="s">
        <v>392</v>
      </c>
      <c r="O264" s="5" t="s">
        <v>6194</v>
      </c>
      <c r="P264" s="5" t="s">
        <v>5737</v>
      </c>
    </row>
    <row r="265" spans="1:16" ht="50.1" customHeight="1" x14ac:dyDescent="0.2">
      <c r="A265" s="5" t="s">
        <v>6195</v>
      </c>
      <c r="B265" s="5" t="s">
        <v>2203</v>
      </c>
      <c r="C265" s="5" t="s">
        <v>2206</v>
      </c>
      <c r="D265" s="5" t="s">
        <v>2180</v>
      </c>
      <c r="E265" s="8">
        <v>5</v>
      </c>
      <c r="F265" s="5" t="s">
        <v>6196</v>
      </c>
      <c r="G265" s="5" t="s">
        <v>5735</v>
      </c>
      <c r="H265" s="5" t="s">
        <v>362</v>
      </c>
      <c r="I265" s="5"/>
      <c r="J265" s="5" t="s">
        <v>1097</v>
      </c>
      <c r="K265" s="8">
        <v>1</v>
      </c>
      <c r="L265" s="8">
        <v>1</v>
      </c>
      <c r="M265" s="5"/>
      <c r="N265" s="5" t="s">
        <v>392</v>
      </c>
      <c r="O265" s="5" t="s">
        <v>6197</v>
      </c>
      <c r="P265" s="5" t="s">
        <v>5737</v>
      </c>
    </row>
    <row r="266" spans="1:16" ht="50.1" customHeight="1" x14ac:dyDescent="0.2">
      <c r="A266" s="5" t="s">
        <v>6198</v>
      </c>
      <c r="B266" s="5" t="s">
        <v>2211</v>
      </c>
      <c r="C266" s="5" t="s">
        <v>2214</v>
      </c>
      <c r="D266" s="5" t="s">
        <v>2180</v>
      </c>
      <c r="E266" s="8">
        <v>6</v>
      </c>
      <c r="F266" s="5" t="s">
        <v>6199</v>
      </c>
      <c r="G266" s="5" t="s">
        <v>2002</v>
      </c>
      <c r="H266" s="5" t="s">
        <v>362</v>
      </c>
      <c r="I266" s="5"/>
      <c r="J266" s="5"/>
      <c r="K266" s="8"/>
      <c r="L266" s="8"/>
      <c r="M266" s="5"/>
      <c r="N266" s="5" t="s">
        <v>364</v>
      </c>
      <c r="O266" s="5" t="s">
        <v>6200</v>
      </c>
      <c r="P266" s="5" t="s">
        <v>5728</v>
      </c>
    </row>
    <row r="267" spans="1:16" ht="50.1" customHeight="1" x14ac:dyDescent="0.2">
      <c r="A267" s="5" t="s">
        <v>6201</v>
      </c>
      <c r="B267" s="5" t="s">
        <v>2219</v>
      </c>
      <c r="C267" s="5" t="s">
        <v>2222</v>
      </c>
      <c r="D267" s="5" t="s">
        <v>2180</v>
      </c>
      <c r="E267" s="8">
        <v>7</v>
      </c>
      <c r="F267" s="5" t="s">
        <v>6202</v>
      </c>
      <c r="G267" s="5" t="s">
        <v>5769</v>
      </c>
      <c r="H267" s="5" t="s">
        <v>362</v>
      </c>
      <c r="I267" s="5" t="s">
        <v>5770</v>
      </c>
      <c r="J267" s="5"/>
      <c r="K267" s="8"/>
      <c r="L267" s="8"/>
      <c r="M267" s="5"/>
      <c r="N267" s="5" t="s">
        <v>514</v>
      </c>
      <c r="O267" s="5" t="s">
        <v>6203</v>
      </c>
      <c r="P267" s="5" t="s">
        <v>5728</v>
      </c>
    </row>
    <row r="268" spans="1:16" ht="50.1" customHeight="1" x14ac:dyDescent="0.2">
      <c r="A268" s="5" t="s">
        <v>6204</v>
      </c>
      <c r="B268" s="5" t="s">
        <v>2226</v>
      </c>
      <c r="C268" s="5" t="s">
        <v>2229</v>
      </c>
      <c r="D268" s="5" t="s">
        <v>2180</v>
      </c>
      <c r="E268" s="8">
        <v>8</v>
      </c>
      <c r="F268" s="5" t="s">
        <v>6205</v>
      </c>
      <c r="G268" s="5" t="s">
        <v>5769</v>
      </c>
      <c r="H268" s="5" t="s">
        <v>390</v>
      </c>
      <c r="I268" s="5" t="s">
        <v>5770</v>
      </c>
      <c r="J268" s="5"/>
      <c r="K268" s="8"/>
      <c r="L268" s="8"/>
      <c r="M268" s="5"/>
      <c r="N268" s="5" t="s">
        <v>514</v>
      </c>
      <c r="O268" s="5" t="s">
        <v>6206</v>
      </c>
      <c r="P268" s="5" t="s">
        <v>5728</v>
      </c>
    </row>
    <row r="269" spans="1:16" ht="57" customHeight="1" x14ac:dyDescent="0.2">
      <c r="A269" s="5" t="s">
        <v>6207</v>
      </c>
      <c r="B269" s="5" t="s">
        <v>2233</v>
      </c>
      <c r="C269" s="5" t="s">
        <v>2236</v>
      </c>
      <c r="D269" s="5" t="s">
        <v>2180</v>
      </c>
      <c r="E269" s="8">
        <v>9</v>
      </c>
      <c r="F269" s="5" t="s">
        <v>6208</v>
      </c>
      <c r="G269" s="5" t="s">
        <v>5730</v>
      </c>
      <c r="H269" s="5" t="s">
        <v>362</v>
      </c>
      <c r="I269" s="5"/>
      <c r="J269" s="5"/>
      <c r="K269" s="8"/>
      <c r="L269" s="8"/>
      <c r="M269" s="5"/>
      <c r="N269" s="5" t="s">
        <v>364</v>
      </c>
      <c r="O269" s="5" t="s">
        <v>6209</v>
      </c>
      <c r="P269" s="5" t="s">
        <v>5728</v>
      </c>
    </row>
    <row r="270" spans="1:16" ht="50.1" customHeight="1" x14ac:dyDescent="0.2">
      <c r="A270" s="5" t="s">
        <v>47</v>
      </c>
      <c r="B270" s="5" t="s">
        <v>356</v>
      </c>
      <c r="C270" s="5" t="s">
        <v>2249</v>
      </c>
      <c r="D270" s="5" t="s">
        <v>2244</v>
      </c>
      <c r="E270" s="8">
        <v>1</v>
      </c>
      <c r="F270" s="5" t="s">
        <v>115</v>
      </c>
      <c r="G270" s="5" t="s">
        <v>2002</v>
      </c>
      <c r="H270" s="5" t="s">
        <v>362</v>
      </c>
      <c r="I270" s="5"/>
      <c r="J270" s="5"/>
      <c r="K270" s="8"/>
      <c r="L270" s="8"/>
      <c r="M270" s="5"/>
      <c r="N270" s="5" t="s">
        <v>364</v>
      </c>
      <c r="O270" s="5" t="s">
        <v>6210</v>
      </c>
      <c r="P270" s="5" t="s">
        <v>5728</v>
      </c>
    </row>
    <row r="271" spans="1:16" ht="50.1" customHeight="1" x14ac:dyDescent="0.2">
      <c r="A271" s="5" t="s">
        <v>5729</v>
      </c>
      <c r="B271" s="5" t="s">
        <v>368</v>
      </c>
      <c r="C271" s="5" t="s">
        <v>2254</v>
      </c>
      <c r="D271" s="5" t="s">
        <v>2244</v>
      </c>
      <c r="E271" s="8">
        <v>2</v>
      </c>
      <c r="F271" s="5" t="s">
        <v>116</v>
      </c>
      <c r="G271" s="5" t="s">
        <v>5730</v>
      </c>
      <c r="H271" s="5" t="s">
        <v>362</v>
      </c>
      <c r="I271" s="5"/>
      <c r="J271" s="5"/>
      <c r="K271" s="8"/>
      <c r="L271" s="8"/>
      <c r="M271" s="5"/>
      <c r="N271" s="5" t="s">
        <v>364</v>
      </c>
      <c r="O271" s="5" t="s">
        <v>6211</v>
      </c>
      <c r="P271" s="5" t="s">
        <v>5728</v>
      </c>
    </row>
    <row r="272" spans="1:16" ht="50.1" customHeight="1" x14ac:dyDescent="0.2">
      <c r="A272" s="5" t="s">
        <v>42</v>
      </c>
      <c r="B272" s="5" t="s">
        <v>376</v>
      </c>
      <c r="C272" s="5" t="s">
        <v>2259</v>
      </c>
      <c r="D272" s="5" t="s">
        <v>2244</v>
      </c>
      <c r="E272" s="8">
        <v>3</v>
      </c>
      <c r="F272" s="5" t="s">
        <v>117</v>
      </c>
      <c r="G272" s="5" t="s">
        <v>2002</v>
      </c>
      <c r="H272" s="5" t="s">
        <v>362</v>
      </c>
      <c r="I272" s="5"/>
      <c r="J272" s="5"/>
      <c r="K272" s="8"/>
      <c r="L272" s="8"/>
      <c r="M272" s="5"/>
      <c r="N272" s="5" t="s">
        <v>382</v>
      </c>
      <c r="O272" s="5" t="s">
        <v>6212</v>
      </c>
      <c r="P272" s="5" t="s">
        <v>5733</v>
      </c>
    </row>
    <row r="273" spans="1:16" ht="50.1" customHeight="1" x14ac:dyDescent="0.2">
      <c r="A273" s="5" t="s">
        <v>6195</v>
      </c>
      <c r="B273" s="5" t="s">
        <v>2203</v>
      </c>
      <c r="C273" s="5" t="s">
        <v>2264</v>
      </c>
      <c r="D273" s="5" t="s">
        <v>2244</v>
      </c>
      <c r="E273" s="8">
        <v>4</v>
      </c>
      <c r="F273" s="5" t="s">
        <v>6213</v>
      </c>
      <c r="G273" s="5" t="s">
        <v>5735</v>
      </c>
      <c r="H273" s="5" t="s">
        <v>362</v>
      </c>
      <c r="I273" s="5"/>
      <c r="J273" s="5" t="s">
        <v>1097</v>
      </c>
      <c r="K273" s="8">
        <v>1</v>
      </c>
      <c r="L273" s="8">
        <v>1</v>
      </c>
      <c r="M273" s="5"/>
      <c r="N273" s="5" t="s">
        <v>392</v>
      </c>
      <c r="O273" s="5" t="s">
        <v>6214</v>
      </c>
      <c r="P273" s="5" t="s">
        <v>5737</v>
      </c>
    </row>
    <row r="274" spans="1:16" ht="50.1" customHeight="1" x14ac:dyDescent="0.2">
      <c r="A274" s="5" t="s">
        <v>6215</v>
      </c>
      <c r="B274" s="5" t="s">
        <v>420</v>
      </c>
      <c r="C274" s="5" t="s">
        <v>2269</v>
      </c>
      <c r="D274" s="5" t="s">
        <v>2244</v>
      </c>
      <c r="E274" s="8">
        <v>5</v>
      </c>
      <c r="F274" s="5" t="s">
        <v>6216</v>
      </c>
      <c r="G274" s="5" t="s">
        <v>5735</v>
      </c>
      <c r="H274" s="5" t="s">
        <v>362</v>
      </c>
      <c r="I274" s="5"/>
      <c r="J274" s="5" t="s">
        <v>1177</v>
      </c>
      <c r="K274" s="8">
        <v>1</v>
      </c>
      <c r="L274" s="8">
        <v>1</v>
      </c>
      <c r="M274" s="5"/>
      <c r="N274" s="5" t="s">
        <v>392</v>
      </c>
      <c r="O274" s="5" t="s">
        <v>6217</v>
      </c>
      <c r="P274" s="5" t="s">
        <v>5737</v>
      </c>
    </row>
    <row r="275" spans="1:16" ht="57" customHeight="1" x14ac:dyDescent="0.2">
      <c r="A275" s="5" t="s">
        <v>6218</v>
      </c>
      <c r="B275" s="5" t="s">
        <v>2272</v>
      </c>
      <c r="C275" s="5" t="s">
        <v>2275</v>
      </c>
      <c r="D275" s="5" t="s">
        <v>2244</v>
      </c>
      <c r="E275" s="8">
        <v>6</v>
      </c>
      <c r="F275" s="5" t="s">
        <v>6219</v>
      </c>
      <c r="G275" s="5" t="s">
        <v>5739</v>
      </c>
      <c r="H275" s="5" t="s">
        <v>362</v>
      </c>
      <c r="I275" s="5" t="s">
        <v>6220</v>
      </c>
      <c r="J275" s="5"/>
      <c r="K275" s="8"/>
      <c r="L275" s="8"/>
      <c r="M275" s="5"/>
      <c r="N275" s="5" t="s">
        <v>402</v>
      </c>
      <c r="O275" s="5" t="s">
        <v>6221</v>
      </c>
      <c r="P275" s="5" t="s">
        <v>5728</v>
      </c>
    </row>
    <row r="276" spans="1:16" ht="50.1" customHeight="1" x14ac:dyDescent="0.2">
      <c r="A276" s="5" t="s">
        <v>6222</v>
      </c>
      <c r="B276" s="5" t="s">
        <v>1700</v>
      </c>
      <c r="C276" s="5" t="s">
        <v>2282</v>
      </c>
      <c r="D276" s="5" t="s">
        <v>2244</v>
      </c>
      <c r="E276" s="8">
        <v>7</v>
      </c>
      <c r="F276" s="5" t="s">
        <v>6223</v>
      </c>
      <c r="G276" s="5" t="s">
        <v>5784</v>
      </c>
      <c r="H276" s="5" t="s">
        <v>362</v>
      </c>
      <c r="I276" s="5" t="s">
        <v>5785</v>
      </c>
      <c r="J276" s="5" t="s">
        <v>1535</v>
      </c>
      <c r="K276" s="8">
        <v>1</v>
      </c>
      <c r="L276" s="8"/>
      <c r="M276" s="5"/>
      <c r="N276" s="5" t="s">
        <v>571</v>
      </c>
      <c r="O276" s="5" t="s">
        <v>6224</v>
      </c>
      <c r="P276" s="5" t="s">
        <v>5737</v>
      </c>
    </row>
    <row r="277" spans="1:16" ht="57" customHeight="1" x14ac:dyDescent="0.2">
      <c r="A277" s="5" t="s">
        <v>6225</v>
      </c>
      <c r="B277" s="5" t="s">
        <v>2285</v>
      </c>
      <c r="C277" s="5" t="s">
        <v>2288</v>
      </c>
      <c r="D277" s="5" t="s">
        <v>2244</v>
      </c>
      <c r="E277" s="8">
        <v>8</v>
      </c>
      <c r="F277" s="5" t="s">
        <v>6226</v>
      </c>
      <c r="G277" s="5" t="s">
        <v>5730</v>
      </c>
      <c r="H277" s="5" t="s">
        <v>362</v>
      </c>
      <c r="I277" s="5"/>
      <c r="J277" s="5"/>
      <c r="K277" s="8"/>
      <c r="L277" s="8"/>
      <c r="M277" s="5"/>
      <c r="N277" s="5" t="s">
        <v>364</v>
      </c>
      <c r="O277" s="5" t="s">
        <v>6227</v>
      </c>
      <c r="P277" s="5" t="s">
        <v>5728</v>
      </c>
    </row>
    <row r="278" spans="1:16" ht="57" customHeight="1" x14ac:dyDescent="0.2">
      <c r="A278" s="5" t="s">
        <v>6228</v>
      </c>
      <c r="B278" s="5" t="s">
        <v>2293</v>
      </c>
      <c r="C278" s="5" t="s">
        <v>2296</v>
      </c>
      <c r="D278" s="5" t="s">
        <v>2244</v>
      </c>
      <c r="E278" s="8">
        <v>9</v>
      </c>
      <c r="F278" s="5" t="s">
        <v>6229</v>
      </c>
      <c r="G278" s="5" t="s">
        <v>5730</v>
      </c>
      <c r="H278" s="5" t="s">
        <v>362</v>
      </c>
      <c r="I278" s="5"/>
      <c r="J278" s="5"/>
      <c r="K278" s="8"/>
      <c r="L278" s="8"/>
      <c r="M278" s="5"/>
      <c r="N278" s="5" t="s">
        <v>364</v>
      </c>
      <c r="O278" s="5" t="s">
        <v>6230</v>
      </c>
      <c r="P278" s="5" t="s">
        <v>5728</v>
      </c>
    </row>
    <row r="279" spans="1:16" ht="50.1" customHeight="1" x14ac:dyDescent="0.2">
      <c r="A279" s="5" t="s">
        <v>47</v>
      </c>
      <c r="B279" s="5" t="s">
        <v>356</v>
      </c>
      <c r="C279" s="5" t="s">
        <v>2309</v>
      </c>
      <c r="D279" s="5" t="s">
        <v>2304</v>
      </c>
      <c r="E279" s="8">
        <v>1</v>
      </c>
      <c r="F279" s="5" t="s">
        <v>115</v>
      </c>
      <c r="G279" s="5" t="s">
        <v>2002</v>
      </c>
      <c r="H279" s="5" t="s">
        <v>362</v>
      </c>
      <c r="I279" s="5"/>
      <c r="J279" s="5"/>
      <c r="K279" s="8"/>
      <c r="L279" s="8"/>
      <c r="M279" s="5"/>
      <c r="N279" s="5" t="s">
        <v>364</v>
      </c>
      <c r="O279" s="5" t="s">
        <v>6231</v>
      </c>
      <c r="P279" s="5" t="s">
        <v>5728</v>
      </c>
    </row>
    <row r="280" spans="1:16" ht="50.1" customHeight="1" x14ac:dyDescent="0.2">
      <c r="A280" s="5" t="s">
        <v>5729</v>
      </c>
      <c r="B280" s="5" t="s">
        <v>368</v>
      </c>
      <c r="C280" s="5" t="s">
        <v>2314</v>
      </c>
      <c r="D280" s="5" t="s">
        <v>2304</v>
      </c>
      <c r="E280" s="8">
        <v>2</v>
      </c>
      <c r="F280" s="5" t="s">
        <v>116</v>
      </c>
      <c r="G280" s="5" t="s">
        <v>5730</v>
      </c>
      <c r="H280" s="5" t="s">
        <v>362</v>
      </c>
      <c r="I280" s="5"/>
      <c r="J280" s="5"/>
      <c r="K280" s="8"/>
      <c r="L280" s="8"/>
      <c r="M280" s="5"/>
      <c r="N280" s="5" t="s">
        <v>364</v>
      </c>
      <c r="O280" s="5" t="s">
        <v>6232</v>
      </c>
      <c r="P280" s="5" t="s">
        <v>5728</v>
      </c>
    </row>
    <row r="281" spans="1:16" ht="50.1" customHeight="1" x14ac:dyDescent="0.2">
      <c r="A281" s="5" t="s">
        <v>42</v>
      </c>
      <c r="B281" s="5" t="s">
        <v>376</v>
      </c>
      <c r="C281" s="5" t="s">
        <v>2319</v>
      </c>
      <c r="D281" s="5" t="s">
        <v>2304</v>
      </c>
      <c r="E281" s="8">
        <v>3</v>
      </c>
      <c r="F281" s="5" t="s">
        <v>117</v>
      </c>
      <c r="G281" s="5" t="s">
        <v>2002</v>
      </c>
      <c r="H281" s="5" t="s">
        <v>362</v>
      </c>
      <c r="I281" s="5"/>
      <c r="J281" s="5"/>
      <c r="K281" s="8"/>
      <c r="L281" s="8"/>
      <c r="M281" s="5"/>
      <c r="N281" s="5" t="s">
        <v>382</v>
      </c>
      <c r="O281" s="5" t="s">
        <v>6233</v>
      </c>
      <c r="P281" s="5" t="s">
        <v>5733</v>
      </c>
    </row>
    <row r="282" spans="1:16" ht="50.1" customHeight="1" x14ac:dyDescent="0.2">
      <c r="A282" s="5" t="s">
        <v>6234</v>
      </c>
      <c r="B282" s="5" t="s">
        <v>412</v>
      </c>
      <c r="C282" s="5" t="s">
        <v>2324</v>
      </c>
      <c r="D282" s="5" t="s">
        <v>2304</v>
      </c>
      <c r="E282" s="8">
        <v>4</v>
      </c>
      <c r="F282" s="5" t="s">
        <v>6235</v>
      </c>
      <c r="G282" s="5" t="s">
        <v>5735</v>
      </c>
      <c r="H282" s="5" t="s">
        <v>362</v>
      </c>
      <c r="I282" s="5"/>
      <c r="J282" s="5" t="s">
        <v>577</v>
      </c>
      <c r="K282" s="8">
        <v>1</v>
      </c>
      <c r="L282" s="8">
        <v>1</v>
      </c>
      <c r="M282" s="5"/>
      <c r="N282" s="5" t="s">
        <v>392</v>
      </c>
      <c r="O282" s="5" t="s">
        <v>6236</v>
      </c>
      <c r="P282" s="5" t="s">
        <v>5737</v>
      </c>
    </row>
    <row r="283" spans="1:16" ht="50.1" customHeight="1" x14ac:dyDescent="0.2">
      <c r="A283" s="5" t="s">
        <v>6237</v>
      </c>
      <c r="B283" s="5" t="s">
        <v>818</v>
      </c>
      <c r="C283" s="5" t="s">
        <v>2329</v>
      </c>
      <c r="D283" s="5" t="s">
        <v>2304</v>
      </c>
      <c r="E283" s="8">
        <v>5</v>
      </c>
      <c r="F283" s="5" t="s">
        <v>6238</v>
      </c>
      <c r="G283" s="5" t="s">
        <v>5735</v>
      </c>
      <c r="H283" s="5" t="s">
        <v>362</v>
      </c>
      <c r="I283" s="5"/>
      <c r="J283" s="5" t="s">
        <v>767</v>
      </c>
      <c r="K283" s="8">
        <v>1</v>
      </c>
      <c r="L283" s="8">
        <v>1</v>
      </c>
      <c r="M283" s="5"/>
      <c r="N283" s="5" t="s">
        <v>392</v>
      </c>
      <c r="O283" s="5" t="s">
        <v>6239</v>
      </c>
      <c r="P283" s="5" t="s">
        <v>5737</v>
      </c>
    </row>
    <row r="284" spans="1:16" ht="50.1" customHeight="1" x14ac:dyDescent="0.2">
      <c r="A284" s="5" t="s">
        <v>6240</v>
      </c>
      <c r="B284" s="5" t="s">
        <v>2332</v>
      </c>
      <c r="C284" s="5" t="s">
        <v>2335</v>
      </c>
      <c r="D284" s="5" t="s">
        <v>2304</v>
      </c>
      <c r="E284" s="8">
        <v>6</v>
      </c>
      <c r="F284" s="5" t="s">
        <v>6241</v>
      </c>
      <c r="G284" s="5" t="s">
        <v>5739</v>
      </c>
      <c r="H284" s="5" t="s">
        <v>362</v>
      </c>
      <c r="I284" s="5" t="s">
        <v>6242</v>
      </c>
      <c r="J284" s="5"/>
      <c r="K284" s="8"/>
      <c r="L284" s="8"/>
      <c r="M284" s="5"/>
      <c r="N284" s="5" t="s">
        <v>402</v>
      </c>
      <c r="O284" s="5" t="s">
        <v>6243</v>
      </c>
      <c r="P284" s="5" t="s">
        <v>5728</v>
      </c>
    </row>
    <row r="285" spans="1:16" ht="50.1" customHeight="1" x14ac:dyDescent="0.2">
      <c r="A285" s="5" t="s">
        <v>6244</v>
      </c>
      <c r="B285" s="5" t="s">
        <v>2340</v>
      </c>
      <c r="C285" s="5" t="s">
        <v>2343</v>
      </c>
      <c r="D285" s="5" t="s">
        <v>2304</v>
      </c>
      <c r="E285" s="8">
        <v>7</v>
      </c>
      <c r="F285" s="5" t="s">
        <v>6245</v>
      </c>
      <c r="G285" s="5" t="s">
        <v>2002</v>
      </c>
      <c r="H285" s="5" t="s">
        <v>362</v>
      </c>
      <c r="I285" s="5"/>
      <c r="J285" s="5"/>
      <c r="K285" s="8"/>
      <c r="L285" s="8"/>
      <c r="M285" s="5"/>
      <c r="N285" s="5" t="s">
        <v>364</v>
      </c>
      <c r="O285" s="5" t="s">
        <v>6246</v>
      </c>
      <c r="P285" s="5" t="s">
        <v>5728</v>
      </c>
    </row>
    <row r="286" spans="1:16" ht="50.1" customHeight="1" x14ac:dyDescent="0.2">
      <c r="A286" s="5" t="s">
        <v>6247</v>
      </c>
      <c r="B286" s="5" t="s">
        <v>2348</v>
      </c>
      <c r="C286" s="5" t="s">
        <v>2351</v>
      </c>
      <c r="D286" s="5" t="s">
        <v>2304</v>
      </c>
      <c r="E286" s="8">
        <v>8</v>
      </c>
      <c r="F286" s="5" t="s">
        <v>6248</v>
      </c>
      <c r="G286" s="5" t="s">
        <v>5769</v>
      </c>
      <c r="H286" s="5" t="s">
        <v>362</v>
      </c>
      <c r="I286" s="5" t="s">
        <v>5770</v>
      </c>
      <c r="J286" s="5"/>
      <c r="K286" s="8"/>
      <c r="L286" s="8"/>
      <c r="M286" s="5"/>
      <c r="N286" s="5" t="s">
        <v>514</v>
      </c>
      <c r="O286" s="5" t="s">
        <v>6249</v>
      </c>
      <c r="P286" s="5" t="s">
        <v>5728</v>
      </c>
    </row>
    <row r="287" spans="1:16" ht="50.1" customHeight="1" x14ac:dyDescent="0.2">
      <c r="A287" s="5" t="s">
        <v>6250</v>
      </c>
      <c r="B287" s="5" t="s">
        <v>2355</v>
      </c>
      <c r="C287" s="5" t="s">
        <v>2358</v>
      </c>
      <c r="D287" s="5" t="s">
        <v>2304</v>
      </c>
      <c r="E287" s="8">
        <v>9</v>
      </c>
      <c r="F287" s="5" t="s">
        <v>6251</v>
      </c>
      <c r="G287" s="5" t="s">
        <v>5735</v>
      </c>
      <c r="H287" s="5" t="s">
        <v>5976</v>
      </c>
      <c r="I287" s="5"/>
      <c r="J287" s="5" t="s">
        <v>1710</v>
      </c>
      <c r="K287" s="8">
        <v>0</v>
      </c>
      <c r="L287" s="8">
        <v>1</v>
      </c>
      <c r="M287" s="5"/>
      <c r="N287" s="5" t="s">
        <v>392</v>
      </c>
      <c r="O287" s="5" t="s">
        <v>6252</v>
      </c>
      <c r="P287" s="5" t="s">
        <v>5737</v>
      </c>
    </row>
    <row r="288" spans="1:16" ht="50.1" customHeight="1" x14ac:dyDescent="0.2">
      <c r="A288" s="5" t="s">
        <v>6253</v>
      </c>
      <c r="B288" s="5" t="s">
        <v>2363</v>
      </c>
      <c r="C288" s="5" t="s">
        <v>2366</v>
      </c>
      <c r="D288" s="5" t="s">
        <v>2304</v>
      </c>
      <c r="E288" s="8">
        <v>10</v>
      </c>
      <c r="F288" s="5" t="s">
        <v>6254</v>
      </c>
      <c r="G288" s="5" t="s">
        <v>5730</v>
      </c>
      <c r="H288" s="5" t="s">
        <v>362</v>
      </c>
      <c r="I288" s="5"/>
      <c r="J288" s="5"/>
      <c r="K288" s="8"/>
      <c r="L288" s="8"/>
      <c r="M288" s="5"/>
      <c r="N288" s="5" t="s">
        <v>364</v>
      </c>
      <c r="O288" s="5" t="s">
        <v>6255</v>
      </c>
      <c r="P288" s="5" t="s">
        <v>5728</v>
      </c>
    </row>
    <row r="289" spans="1:16" ht="50.1" customHeight="1" x14ac:dyDescent="0.2">
      <c r="A289" s="5" t="s">
        <v>47</v>
      </c>
      <c r="B289" s="5" t="s">
        <v>356</v>
      </c>
      <c r="C289" s="5" t="s">
        <v>2379</v>
      </c>
      <c r="D289" s="5" t="s">
        <v>2374</v>
      </c>
      <c r="E289" s="8">
        <v>1</v>
      </c>
      <c r="F289" s="5" t="s">
        <v>115</v>
      </c>
      <c r="G289" s="5" t="s">
        <v>2002</v>
      </c>
      <c r="H289" s="5" t="s">
        <v>362</v>
      </c>
      <c r="I289" s="5"/>
      <c r="J289" s="5"/>
      <c r="K289" s="8"/>
      <c r="L289" s="8"/>
      <c r="M289" s="5"/>
      <c r="N289" s="5" t="s">
        <v>364</v>
      </c>
      <c r="O289" s="5" t="s">
        <v>6256</v>
      </c>
      <c r="P289" s="5" t="s">
        <v>5728</v>
      </c>
    </row>
    <row r="290" spans="1:16" ht="50.1" customHeight="1" x14ac:dyDescent="0.2">
      <c r="A290" s="5" t="s">
        <v>5729</v>
      </c>
      <c r="B290" s="5" t="s">
        <v>368</v>
      </c>
      <c r="C290" s="5" t="s">
        <v>2384</v>
      </c>
      <c r="D290" s="5" t="s">
        <v>2374</v>
      </c>
      <c r="E290" s="8">
        <v>2</v>
      </c>
      <c r="F290" s="5" t="s">
        <v>116</v>
      </c>
      <c r="G290" s="5" t="s">
        <v>5730</v>
      </c>
      <c r="H290" s="5" t="s">
        <v>362</v>
      </c>
      <c r="I290" s="5"/>
      <c r="J290" s="5"/>
      <c r="K290" s="8"/>
      <c r="L290" s="8"/>
      <c r="M290" s="5"/>
      <c r="N290" s="5" t="s">
        <v>364</v>
      </c>
      <c r="O290" s="5" t="s">
        <v>6257</v>
      </c>
      <c r="P290" s="5" t="s">
        <v>5728</v>
      </c>
    </row>
    <row r="291" spans="1:16" ht="50.1" customHeight="1" x14ac:dyDescent="0.2">
      <c r="A291" s="5" t="s">
        <v>42</v>
      </c>
      <c r="B291" s="5" t="s">
        <v>376</v>
      </c>
      <c r="C291" s="5" t="s">
        <v>2389</v>
      </c>
      <c r="D291" s="5" t="s">
        <v>2374</v>
      </c>
      <c r="E291" s="8">
        <v>3</v>
      </c>
      <c r="F291" s="5" t="s">
        <v>117</v>
      </c>
      <c r="G291" s="5" t="s">
        <v>2002</v>
      </c>
      <c r="H291" s="5" t="s">
        <v>362</v>
      </c>
      <c r="I291" s="5"/>
      <c r="J291" s="5"/>
      <c r="K291" s="8"/>
      <c r="L291" s="8"/>
      <c r="M291" s="5"/>
      <c r="N291" s="5" t="s">
        <v>382</v>
      </c>
      <c r="O291" s="5" t="s">
        <v>6258</v>
      </c>
      <c r="P291" s="5" t="s">
        <v>5733</v>
      </c>
    </row>
    <row r="292" spans="1:16" ht="50.1" customHeight="1" x14ac:dyDescent="0.2">
      <c r="A292" s="5" t="s">
        <v>5766</v>
      </c>
      <c r="B292" s="5" t="s">
        <v>500</v>
      </c>
      <c r="C292" s="5" t="s">
        <v>2394</v>
      </c>
      <c r="D292" s="5" t="s">
        <v>2374</v>
      </c>
      <c r="E292" s="8">
        <v>4</v>
      </c>
      <c r="F292" s="5" t="s">
        <v>167</v>
      </c>
      <c r="G292" s="5" t="s">
        <v>5735</v>
      </c>
      <c r="H292" s="5" t="s">
        <v>362</v>
      </c>
      <c r="I292" s="5"/>
      <c r="J292" s="5" t="s">
        <v>767</v>
      </c>
      <c r="K292" s="8">
        <v>1</v>
      </c>
      <c r="L292" s="8">
        <v>1</v>
      </c>
      <c r="M292" s="5"/>
      <c r="N292" s="5" t="s">
        <v>392</v>
      </c>
      <c r="O292" s="5" t="s">
        <v>6259</v>
      </c>
      <c r="P292" s="5" t="s">
        <v>5737</v>
      </c>
    </row>
    <row r="293" spans="1:16" ht="50.1" customHeight="1" x14ac:dyDescent="0.2">
      <c r="A293" s="5" t="s">
        <v>5790</v>
      </c>
      <c r="B293" s="5" t="s">
        <v>595</v>
      </c>
      <c r="C293" s="5" t="s">
        <v>2399</v>
      </c>
      <c r="D293" s="5" t="s">
        <v>2374</v>
      </c>
      <c r="E293" s="8">
        <v>5</v>
      </c>
      <c r="F293" s="5" t="s">
        <v>6260</v>
      </c>
      <c r="G293" s="5" t="s">
        <v>5735</v>
      </c>
      <c r="H293" s="5" t="s">
        <v>362</v>
      </c>
      <c r="I293" s="5"/>
      <c r="J293" s="5" t="s">
        <v>348</v>
      </c>
      <c r="K293" s="8">
        <v>1</v>
      </c>
      <c r="L293" s="8">
        <v>1</v>
      </c>
      <c r="M293" s="5"/>
      <c r="N293" s="5" t="s">
        <v>392</v>
      </c>
      <c r="O293" s="5" t="s">
        <v>6261</v>
      </c>
      <c r="P293" s="5" t="s">
        <v>5737</v>
      </c>
    </row>
    <row r="294" spans="1:16" ht="50.1" customHeight="1" x14ac:dyDescent="0.2">
      <c r="A294" s="5" t="s">
        <v>5755</v>
      </c>
      <c r="B294" s="5" t="s">
        <v>449</v>
      </c>
      <c r="C294" s="5" t="s">
        <v>2404</v>
      </c>
      <c r="D294" s="5" t="s">
        <v>2374</v>
      </c>
      <c r="E294" s="8">
        <v>6</v>
      </c>
      <c r="F294" s="5" t="s">
        <v>6262</v>
      </c>
      <c r="G294" s="5" t="s">
        <v>5735</v>
      </c>
      <c r="H294" s="5" t="s">
        <v>362</v>
      </c>
      <c r="I294" s="5"/>
      <c r="J294" s="5" t="s">
        <v>2433</v>
      </c>
      <c r="K294" s="8">
        <v>1</v>
      </c>
      <c r="L294" s="8">
        <v>1</v>
      </c>
      <c r="M294" s="5"/>
      <c r="N294" s="5" t="s">
        <v>392</v>
      </c>
      <c r="O294" s="5" t="s">
        <v>6263</v>
      </c>
      <c r="P294" s="5" t="s">
        <v>5737</v>
      </c>
    </row>
    <row r="295" spans="1:16" ht="50.1" customHeight="1" x14ac:dyDescent="0.2">
      <c r="A295" s="5" t="s">
        <v>5757</v>
      </c>
      <c r="B295" s="5" t="s">
        <v>457</v>
      </c>
      <c r="C295" s="5" t="s">
        <v>2409</v>
      </c>
      <c r="D295" s="5" t="s">
        <v>2374</v>
      </c>
      <c r="E295" s="8">
        <v>7</v>
      </c>
      <c r="F295" s="5" t="s">
        <v>6264</v>
      </c>
      <c r="G295" s="5" t="s">
        <v>5735</v>
      </c>
      <c r="H295" s="5" t="s">
        <v>362</v>
      </c>
      <c r="I295" s="5"/>
      <c r="J295" s="5" t="s">
        <v>2593</v>
      </c>
      <c r="K295" s="8">
        <v>1</v>
      </c>
      <c r="L295" s="8">
        <v>1</v>
      </c>
      <c r="M295" s="5"/>
      <c r="N295" s="5" t="s">
        <v>392</v>
      </c>
      <c r="O295" s="5" t="s">
        <v>6265</v>
      </c>
      <c r="P295" s="5" t="s">
        <v>5737</v>
      </c>
    </row>
    <row r="296" spans="1:16" ht="50.1" customHeight="1" x14ac:dyDescent="0.2">
      <c r="A296" s="5" t="s">
        <v>5759</v>
      </c>
      <c r="B296" s="5" t="s">
        <v>465</v>
      </c>
      <c r="C296" s="5" t="s">
        <v>2414</v>
      </c>
      <c r="D296" s="5" t="s">
        <v>2374</v>
      </c>
      <c r="E296" s="8">
        <v>8</v>
      </c>
      <c r="F296" s="5" t="s">
        <v>6266</v>
      </c>
      <c r="G296" s="5" t="s">
        <v>5735</v>
      </c>
      <c r="H296" s="5" t="s">
        <v>362</v>
      </c>
      <c r="I296" s="5"/>
      <c r="J296" s="5" t="s">
        <v>2719</v>
      </c>
      <c r="K296" s="8">
        <v>1</v>
      </c>
      <c r="L296" s="8">
        <v>1</v>
      </c>
      <c r="M296" s="5"/>
      <c r="N296" s="5" t="s">
        <v>392</v>
      </c>
      <c r="O296" s="5" t="s">
        <v>6267</v>
      </c>
      <c r="P296" s="5" t="s">
        <v>5737</v>
      </c>
    </row>
    <row r="297" spans="1:16" ht="57" customHeight="1" x14ac:dyDescent="0.2">
      <c r="A297" s="5" t="s">
        <v>6268</v>
      </c>
      <c r="B297" s="5" t="s">
        <v>2417</v>
      </c>
      <c r="C297" s="5" t="s">
        <v>2420</v>
      </c>
      <c r="D297" s="5" t="s">
        <v>2374</v>
      </c>
      <c r="E297" s="8">
        <v>9</v>
      </c>
      <c r="F297" s="5" t="s">
        <v>6269</v>
      </c>
      <c r="G297" s="5" t="s">
        <v>5730</v>
      </c>
      <c r="H297" s="5" t="s">
        <v>362</v>
      </c>
      <c r="I297" s="5"/>
      <c r="J297" s="5"/>
      <c r="K297" s="8"/>
      <c r="L297" s="8"/>
      <c r="M297" s="5"/>
      <c r="N297" s="5" t="s">
        <v>364</v>
      </c>
      <c r="O297" s="5" t="s">
        <v>6270</v>
      </c>
      <c r="P297" s="5" t="s">
        <v>5728</v>
      </c>
    </row>
    <row r="298" spans="1:16" ht="50.1" customHeight="1" x14ac:dyDescent="0.2">
      <c r="A298" s="5" t="s">
        <v>6271</v>
      </c>
      <c r="B298" s="5" t="s">
        <v>420</v>
      </c>
      <c r="C298" s="5" t="s">
        <v>2427</v>
      </c>
      <c r="D298" s="5" t="s">
        <v>2374</v>
      </c>
      <c r="E298" s="8">
        <v>10</v>
      </c>
      <c r="F298" s="5" t="s">
        <v>6272</v>
      </c>
      <c r="G298" s="5" t="s">
        <v>5735</v>
      </c>
      <c r="H298" s="5" t="s">
        <v>5976</v>
      </c>
      <c r="I298" s="5"/>
      <c r="J298" s="5" t="s">
        <v>1177</v>
      </c>
      <c r="K298" s="8">
        <v>0</v>
      </c>
      <c r="L298" s="8">
        <v>1</v>
      </c>
      <c r="M298" s="5"/>
      <c r="N298" s="5" t="s">
        <v>392</v>
      </c>
      <c r="O298" s="5" t="s">
        <v>6273</v>
      </c>
      <c r="P298" s="5" t="s">
        <v>5737</v>
      </c>
    </row>
    <row r="299" spans="1:16" ht="50.1" customHeight="1" x14ac:dyDescent="0.2">
      <c r="A299" s="5" t="s">
        <v>47</v>
      </c>
      <c r="B299" s="5" t="s">
        <v>356</v>
      </c>
      <c r="C299" s="5" t="s">
        <v>2438</v>
      </c>
      <c r="D299" s="5" t="s">
        <v>2433</v>
      </c>
      <c r="E299" s="8">
        <v>1</v>
      </c>
      <c r="F299" s="5" t="s">
        <v>115</v>
      </c>
      <c r="G299" s="5" t="s">
        <v>2002</v>
      </c>
      <c r="H299" s="5" t="s">
        <v>362</v>
      </c>
      <c r="I299" s="5"/>
      <c r="J299" s="5"/>
      <c r="K299" s="8"/>
      <c r="L299" s="8"/>
      <c r="M299" s="5"/>
      <c r="N299" s="5" t="s">
        <v>364</v>
      </c>
      <c r="O299" s="5" t="s">
        <v>6274</v>
      </c>
      <c r="P299" s="5" t="s">
        <v>5728</v>
      </c>
    </row>
    <row r="300" spans="1:16" ht="50.1" customHeight="1" x14ac:dyDescent="0.2">
      <c r="A300" s="5" t="s">
        <v>5729</v>
      </c>
      <c r="B300" s="5" t="s">
        <v>368</v>
      </c>
      <c r="C300" s="5" t="s">
        <v>2443</v>
      </c>
      <c r="D300" s="5" t="s">
        <v>2433</v>
      </c>
      <c r="E300" s="8">
        <v>2</v>
      </c>
      <c r="F300" s="5" t="s">
        <v>116</v>
      </c>
      <c r="G300" s="5" t="s">
        <v>5730</v>
      </c>
      <c r="H300" s="5" t="s">
        <v>362</v>
      </c>
      <c r="I300" s="5"/>
      <c r="J300" s="5"/>
      <c r="K300" s="8"/>
      <c r="L300" s="8"/>
      <c r="M300" s="5"/>
      <c r="N300" s="5" t="s">
        <v>364</v>
      </c>
      <c r="O300" s="5" t="s">
        <v>6275</v>
      </c>
      <c r="P300" s="5" t="s">
        <v>5728</v>
      </c>
    </row>
    <row r="301" spans="1:16" ht="50.1" customHeight="1" x14ac:dyDescent="0.2">
      <c r="A301" s="5" t="s">
        <v>42</v>
      </c>
      <c r="B301" s="5" t="s">
        <v>376</v>
      </c>
      <c r="C301" s="5" t="s">
        <v>2448</v>
      </c>
      <c r="D301" s="5" t="s">
        <v>2433</v>
      </c>
      <c r="E301" s="8">
        <v>3</v>
      </c>
      <c r="F301" s="5" t="s">
        <v>117</v>
      </c>
      <c r="G301" s="5" t="s">
        <v>2002</v>
      </c>
      <c r="H301" s="5" t="s">
        <v>362</v>
      </c>
      <c r="I301" s="5"/>
      <c r="J301" s="5"/>
      <c r="K301" s="8"/>
      <c r="L301" s="8"/>
      <c r="M301" s="5"/>
      <c r="N301" s="5" t="s">
        <v>382</v>
      </c>
      <c r="O301" s="5" t="s">
        <v>6276</v>
      </c>
      <c r="P301" s="5" t="s">
        <v>5733</v>
      </c>
    </row>
    <row r="302" spans="1:16" ht="50.1" customHeight="1" x14ac:dyDescent="0.2">
      <c r="A302" s="5" t="s">
        <v>5766</v>
      </c>
      <c r="B302" s="5" t="s">
        <v>500</v>
      </c>
      <c r="C302" s="5" t="s">
        <v>2453</v>
      </c>
      <c r="D302" s="5" t="s">
        <v>2433</v>
      </c>
      <c r="E302" s="8">
        <v>4</v>
      </c>
      <c r="F302" s="5" t="s">
        <v>167</v>
      </c>
      <c r="G302" s="5" t="s">
        <v>5735</v>
      </c>
      <c r="H302" s="5" t="s">
        <v>362</v>
      </c>
      <c r="I302" s="5"/>
      <c r="J302" s="5" t="s">
        <v>767</v>
      </c>
      <c r="K302" s="8">
        <v>1</v>
      </c>
      <c r="L302" s="8">
        <v>1</v>
      </c>
      <c r="M302" s="5"/>
      <c r="N302" s="5" t="s">
        <v>392</v>
      </c>
      <c r="O302" s="5" t="s">
        <v>6277</v>
      </c>
      <c r="P302" s="5" t="s">
        <v>5737</v>
      </c>
    </row>
    <row r="303" spans="1:16" ht="50.1" customHeight="1" x14ac:dyDescent="0.2">
      <c r="A303" s="5" t="s">
        <v>6278</v>
      </c>
      <c r="B303" s="5" t="s">
        <v>2456</v>
      </c>
      <c r="C303" s="5" t="s">
        <v>2459</v>
      </c>
      <c r="D303" s="5" t="s">
        <v>2433</v>
      </c>
      <c r="E303" s="8">
        <v>5</v>
      </c>
      <c r="F303" s="5" t="s">
        <v>6279</v>
      </c>
      <c r="G303" s="5" t="s">
        <v>5739</v>
      </c>
      <c r="H303" s="5" t="s">
        <v>362</v>
      </c>
      <c r="I303" s="5" t="s">
        <v>6280</v>
      </c>
      <c r="J303" s="5"/>
      <c r="K303" s="8"/>
      <c r="L303" s="8"/>
      <c r="M303" s="5"/>
      <c r="N303" s="5" t="s">
        <v>402</v>
      </c>
      <c r="O303" s="5" t="s">
        <v>6281</v>
      </c>
      <c r="P303" s="5" t="s">
        <v>5728</v>
      </c>
    </row>
    <row r="304" spans="1:16" ht="50.1" customHeight="1" x14ac:dyDescent="0.2">
      <c r="A304" s="5" t="s">
        <v>6282</v>
      </c>
      <c r="B304" s="5" t="s">
        <v>2464</v>
      </c>
      <c r="C304" s="5" t="s">
        <v>2467</v>
      </c>
      <c r="D304" s="5" t="s">
        <v>2433</v>
      </c>
      <c r="E304" s="8">
        <v>6</v>
      </c>
      <c r="F304" s="5" t="s">
        <v>6283</v>
      </c>
      <c r="G304" s="5" t="s">
        <v>5730</v>
      </c>
      <c r="H304" s="5" t="s">
        <v>362</v>
      </c>
      <c r="I304" s="5"/>
      <c r="J304" s="5"/>
      <c r="K304" s="8"/>
      <c r="L304" s="8"/>
      <c r="M304" s="5"/>
      <c r="N304" s="5" t="s">
        <v>364</v>
      </c>
      <c r="O304" s="5" t="s">
        <v>6284</v>
      </c>
      <c r="P304" s="5" t="s">
        <v>5728</v>
      </c>
    </row>
    <row r="305" spans="1:16" ht="50.1" customHeight="1" x14ac:dyDescent="0.2">
      <c r="A305" s="5" t="s">
        <v>6285</v>
      </c>
      <c r="B305" s="5" t="s">
        <v>457</v>
      </c>
      <c r="C305" s="5" t="s">
        <v>2474</v>
      </c>
      <c r="D305" s="5" t="s">
        <v>2433</v>
      </c>
      <c r="E305" s="8">
        <v>7</v>
      </c>
      <c r="F305" s="5" t="s">
        <v>6286</v>
      </c>
      <c r="G305" s="5" t="s">
        <v>5735</v>
      </c>
      <c r="H305" s="5" t="s">
        <v>390</v>
      </c>
      <c r="I305" s="5"/>
      <c r="J305" s="5" t="s">
        <v>2593</v>
      </c>
      <c r="K305" s="8">
        <v>0</v>
      </c>
      <c r="L305" s="8">
        <v>1</v>
      </c>
      <c r="M305" s="5"/>
      <c r="N305" s="5" t="s">
        <v>392</v>
      </c>
      <c r="O305" s="5" t="s">
        <v>6287</v>
      </c>
      <c r="P305" s="5" t="s">
        <v>5737</v>
      </c>
    </row>
    <row r="306" spans="1:16" ht="50.1" customHeight="1" x14ac:dyDescent="0.2">
      <c r="A306" s="5" t="s">
        <v>6288</v>
      </c>
      <c r="B306" s="5" t="s">
        <v>465</v>
      </c>
      <c r="C306" s="5" t="s">
        <v>2479</v>
      </c>
      <c r="D306" s="5" t="s">
        <v>2433</v>
      </c>
      <c r="E306" s="8">
        <v>8</v>
      </c>
      <c r="F306" s="5" t="s">
        <v>6289</v>
      </c>
      <c r="G306" s="5" t="s">
        <v>5735</v>
      </c>
      <c r="H306" s="5" t="s">
        <v>390</v>
      </c>
      <c r="I306" s="5"/>
      <c r="J306" s="5" t="s">
        <v>2719</v>
      </c>
      <c r="K306" s="8">
        <v>0</v>
      </c>
      <c r="L306" s="8">
        <v>1</v>
      </c>
      <c r="M306" s="5"/>
      <c r="N306" s="5" t="s">
        <v>392</v>
      </c>
      <c r="O306" s="5" t="s">
        <v>6290</v>
      </c>
      <c r="P306" s="5" t="s">
        <v>5737</v>
      </c>
    </row>
    <row r="307" spans="1:16" ht="50.1" customHeight="1" x14ac:dyDescent="0.2">
      <c r="A307" s="5" t="s">
        <v>6291</v>
      </c>
      <c r="B307" s="5" t="s">
        <v>2482</v>
      </c>
      <c r="C307" s="5" t="s">
        <v>2485</v>
      </c>
      <c r="D307" s="5" t="s">
        <v>2433</v>
      </c>
      <c r="E307" s="8">
        <v>9</v>
      </c>
      <c r="F307" s="5" t="s">
        <v>6292</v>
      </c>
      <c r="G307" s="5" t="s">
        <v>5730</v>
      </c>
      <c r="H307" s="5" t="s">
        <v>362</v>
      </c>
      <c r="I307" s="5"/>
      <c r="J307" s="5"/>
      <c r="K307" s="8"/>
      <c r="L307" s="8"/>
      <c r="M307" s="5"/>
      <c r="N307" s="5" t="s">
        <v>364</v>
      </c>
      <c r="O307" s="5" t="s">
        <v>6293</v>
      </c>
      <c r="P307" s="5" t="s">
        <v>5728</v>
      </c>
    </row>
    <row r="308" spans="1:16" ht="50.1" customHeight="1" x14ac:dyDescent="0.2">
      <c r="A308" s="5" t="s">
        <v>6294</v>
      </c>
      <c r="B308" s="5" t="s">
        <v>2490</v>
      </c>
      <c r="C308" s="5" t="s">
        <v>2493</v>
      </c>
      <c r="D308" s="5" t="s">
        <v>2433</v>
      </c>
      <c r="E308" s="8">
        <v>10</v>
      </c>
      <c r="F308" s="5" t="s">
        <v>6295</v>
      </c>
      <c r="G308" s="5" t="s">
        <v>5730</v>
      </c>
      <c r="H308" s="5" t="s">
        <v>362</v>
      </c>
      <c r="I308" s="5"/>
      <c r="J308" s="5"/>
      <c r="K308" s="8"/>
      <c r="L308" s="8"/>
      <c r="M308" s="5"/>
      <c r="N308" s="5" t="s">
        <v>364</v>
      </c>
      <c r="O308" s="5" t="s">
        <v>6296</v>
      </c>
      <c r="P308" s="5" t="s">
        <v>5728</v>
      </c>
    </row>
    <row r="309" spans="1:16" ht="50.1" customHeight="1" x14ac:dyDescent="0.2">
      <c r="A309" s="5" t="s">
        <v>47</v>
      </c>
      <c r="B309" s="5" t="s">
        <v>356</v>
      </c>
      <c r="C309" s="5" t="s">
        <v>2506</v>
      </c>
      <c r="D309" s="5" t="s">
        <v>2501</v>
      </c>
      <c r="E309" s="8">
        <v>1</v>
      </c>
      <c r="F309" s="5" t="s">
        <v>115</v>
      </c>
      <c r="G309" s="5" t="s">
        <v>2002</v>
      </c>
      <c r="H309" s="5" t="s">
        <v>362</v>
      </c>
      <c r="I309" s="5"/>
      <c r="J309" s="5"/>
      <c r="K309" s="8"/>
      <c r="L309" s="8"/>
      <c r="M309" s="5"/>
      <c r="N309" s="5" t="s">
        <v>364</v>
      </c>
      <c r="O309" s="5" t="s">
        <v>6297</v>
      </c>
      <c r="P309" s="5" t="s">
        <v>5728</v>
      </c>
    </row>
    <row r="310" spans="1:16" ht="50.1" customHeight="1" x14ac:dyDescent="0.2">
      <c r="A310" s="5" t="s">
        <v>5729</v>
      </c>
      <c r="B310" s="5" t="s">
        <v>368</v>
      </c>
      <c r="C310" s="5" t="s">
        <v>2511</v>
      </c>
      <c r="D310" s="5" t="s">
        <v>2501</v>
      </c>
      <c r="E310" s="8">
        <v>2</v>
      </c>
      <c r="F310" s="5" t="s">
        <v>116</v>
      </c>
      <c r="G310" s="5" t="s">
        <v>5730</v>
      </c>
      <c r="H310" s="5" t="s">
        <v>362</v>
      </c>
      <c r="I310" s="5"/>
      <c r="J310" s="5"/>
      <c r="K310" s="8"/>
      <c r="L310" s="8"/>
      <c r="M310" s="5"/>
      <c r="N310" s="5" t="s">
        <v>364</v>
      </c>
      <c r="O310" s="5" t="s">
        <v>6298</v>
      </c>
      <c r="P310" s="5" t="s">
        <v>5728</v>
      </c>
    </row>
    <row r="311" spans="1:16" ht="50.1" customHeight="1" x14ac:dyDescent="0.2">
      <c r="A311" s="5" t="s">
        <v>42</v>
      </c>
      <c r="B311" s="5" t="s">
        <v>376</v>
      </c>
      <c r="C311" s="5" t="s">
        <v>2516</v>
      </c>
      <c r="D311" s="5" t="s">
        <v>2501</v>
      </c>
      <c r="E311" s="8">
        <v>3</v>
      </c>
      <c r="F311" s="5" t="s">
        <v>117</v>
      </c>
      <c r="G311" s="5" t="s">
        <v>2002</v>
      </c>
      <c r="H311" s="5" t="s">
        <v>362</v>
      </c>
      <c r="I311" s="5"/>
      <c r="J311" s="5"/>
      <c r="K311" s="8"/>
      <c r="L311" s="8"/>
      <c r="M311" s="5"/>
      <c r="N311" s="5" t="s">
        <v>382</v>
      </c>
      <c r="O311" s="5" t="s">
        <v>6299</v>
      </c>
      <c r="P311" s="5" t="s">
        <v>5733</v>
      </c>
    </row>
    <row r="312" spans="1:16" ht="50.1" customHeight="1" x14ac:dyDescent="0.2">
      <c r="A312" s="5" t="s">
        <v>5766</v>
      </c>
      <c r="B312" s="5" t="s">
        <v>500</v>
      </c>
      <c r="C312" s="5" t="s">
        <v>2521</v>
      </c>
      <c r="D312" s="5" t="s">
        <v>2501</v>
      </c>
      <c r="E312" s="8">
        <v>4</v>
      </c>
      <c r="F312" s="5" t="s">
        <v>167</v>
      </c>
      <c r="G312" s="5" t="s">
        <v>5735</v>
      </c>
      <c r="H312" s="5" t="s">
        <v>362</v>
      </c>
      <c r="I312" s="5"/>
      <c r="J312" s="5" t="s">
        <v>767</v>
      </c>
      <c r="K312" s="8">
        <v>1</v>
      </c>
      <c r="L312" s="8">
        <v>1</v>
      </c>
      <c r="M312" s="5"/>
      <c r="N312" s="5" t="s">
        <v>392</v>
      </c>
      <c r="O312" s="5" t="s">
        <v>6300</v>
      </c>
      <c r="P312" s="5" t="s">
        <v>5737</v>
      </c>
    </row>
    <row r="313" spans="1:16" ht="50.1" customHeight="1" x14ac:dyDescent="0.2">
      <c r="A313" s="5" t="s">
        <v>5755</v>
      </c>
      <c r="B313" s="5" t="s">
        <v>449</v>
      </c>
      <c r="C313" s="5" t="s">
        <v>2526</v>
      </c>
      <c r="D313" s="5" t="s">
        <v>2501</v>
      </c>
      <c r="E313" s="8">
        <v>5</v>
      </c>
      <c r="F313" s="5" t="s">
        <v>6301</v>
      </c>
      <c r="G313" s="5" t="s">
        <v>5735</v>
      </c>
      <c r="H313" s="5" t="s">
        <v>362</v>
      </c>
      <c r="I313" s="5"/>
      <c r="J313" s="5" t="s">
        <v>2433</v>
      </c>
      <c r="K313" s="8">
        <v>1</v>
      </c>
      <c r="L313" s="8">
        <v>1</v>
      </c>
      <c r="M313" s="5"/>
      <c r="N313" s="5" t="s">
        <v>392</v>
      </c>
      <c r="O313" s="5" t="s">
        <v>6302</v>
      </c>
      <c r="P313" s="5" t="s">
        <v>5737</v>
      </c>
    </row>
    <row r="314" spans="1:16" ht="50.1" customHeight="1" x14ac:dyDescent="0.2">
      <c r="A314" s="5" t="s">
        <v>6303</v>
      </c>
      <c r="B314" s="5" t="s">
        <v>2529</v>
      </c>
      <c r="C314" s="5" t="s">
        <v>2532</v>
      </c>
      <c r="D314" s="5" t="s">
        <v>2501</v>
      </c>
      <c r="E314" s="8">
        <v>6</v>
      </c>
      <c r="F314" s="5" t="s">
        <v>6304</v>
      </c>
      <c r="G314" s="5" t="s">
        <v>2002</v>
      </c>
      <c r="H314" s="5" t="s">
        <v>362</v>
      </c>
      <c r="I314" s="5"/>
      <c r="J314" s="5"/>
      <c r="K314" s="8"/>
      <c r="L314" s="8"/>
      <c r="M314" s="5"/>
      <c r="N314" s="5" t="s">
        <v>364</v>
      </c>
      <c r="O314" s="5" t="s">
        <v>6305</v>
      </c>
      <c r="P314" s="5" t="s">
        <v>5728</v>
      </c>
    </row>
    <row r="315" spans="1:16" ht="72" customHeight="1" x14ac:dyDescent="0.2">
      <c r="A315" s="5" t="s">
        <v>5995</v>
      </c>
      <c r="B315" s="5" t="s">
        <v>1440</v>
      </c>
      <c r="C315" s="5" t="s">
        <v>2539</v>
      </c>
      <c r="D315" s="5" t="s">
        <v>2501</v>
      </c>
      <c r="E315" s="8">
        <v>7</v>
      </c>
      <c r="F315" s="5" t="s">
        <v>6306</v>
      </c>
      <c r="G315" s="5" t="s">
        <v>5739</v>
      </c>
      <c r="H315" s="5" t="s">
        <v>362</v>
      </c>
      <c r="I315" s="5" t="s">
        <v>5996</v>
      </c>
      <c r="J315" s="5"/>
      <c r="K315" s="8"/>
      <c r="L315" s="8"/>
      <c r="M315" s="5"/>
      <c r="N315" s="5" t="s">
        <v>402</v>
      </c>
      <c r="O315" s="5" t="s">
        <v>6307</v>
      </c>
      <c r="P315" s="5" t="s">
        <v>5728</v>
      </c>
    </row>
    <row r="316" spans="1:16" ht="50.1" customHeight="1" x14ac:dyDescent="0.2">
      <c r="A316" s="5" t="s">
        <v>6308</v>
      </c>
      <c r="B316" s="5" t="s">
        <v>2542</v>
      </c>
      <c r="C316" s="5" t="s">
        <v>2545</v>
      </c>
      <c r="D316" s="5" t="s">
        <v>2501</v>
      </c>
      <c r="E316" s="8">
        <v>8</v>
      </c>
      <c r="F316" s="5" t="s">
        <v>6309</v>
      </c>
      <c r="G316" s="5" t="s">
        <v>2002</v>
      </c>
      <c r="H316" s="5" t="s">
        <v>362</v>
      </c>
      <c r="I316" s="5"/>
      <c r="J316" s="5"/>
      <c r="K316" s="8"/>
      <c r="L316" s="8"/>
      <c r="M316" s="5"/>
      <c r="N316" s="5" t="s">
        <v>364</v>
      </c>
      <c r="O316" s="5" t="s">
        <v>6310</v>
      </c>
      <c r="P316" s="5" t="s">
        <v>5728</v>
      </c>
    </row>
    <row r="317" spans="1:16" ht="50.1" customHeight="1" x14ac:dyDescent="0.2">
      <c r="A317" s="5" t="s">
        <v>6311</v>
      </c>
      <c r="B317" s="5" t="s">
        <v>2550</v>
      </c>
      <c r="C317" s="5" t="s">
        <v>2553</v>
      </c>
      <c r="D317" s="5" t="s">
        <v>2501</v>
      </c>
      <c r="E317" s="8">
        <v>9</v>
      </c>
      <c r="F317" s="5" t="s">
        <v>6312</v>
      </c>
      <c r="G317" s="5" t="s">
        <v>5739</v>
      </c>
      <c r="H317" s="5" t="s">
        <v>362</v>
      </c>
      <c r="I317" s="5" t="s">
        <v>6313</v>
      </c>
      <c r="J317" s="5"/>
      <c r="K317" s="8"/>
      <c r="L317" s="8"/>
      <c r="M317" s="5"/>
      <c r="N317" s="5" t="s">
        <v>402</v>
      </c>
      <c r="O317" s="5" t="s">
        <v>6314</v>
      </c>
      <c r="P317" s="5" t="s">
        <v>5728</v>
      </c>
    </row>
    <row r="318" spans="1:16" ht="50.1" customHeight="1" x14ac:dyDescent="0.2">
      <c r="A318" s="5" t="s">
        <v>6315</v>
      </c>
      <c r="B318" s="5" t="s">
        <v>2558</v>
      </c>
      <c r="C318" s="5" t="s">
        <v>2561</v>
      </c>
      <c r="D318" s="5" t="s">
        <v>2501</v>
      </c>
      <c r="E318" s="8">
        <v>10</v>
      </c>
      <c r="F318" s="5" t="s">
        <v>6316</v>
      </c>
      <c r="G318" s="5" t="s">
        <v>5730</v>
      </c>
      <c r="H318" s="5" t="s">
        <v>362</v>
      </c>
      <c r="I318" s="5"/>
      <c r="J318" s="5"/>
      <c r="K318" s="8"/>
      <c r="L318" s="8"/>
      <c r="M318" s="5"/>
      <c r="N318" s="5" t="s">
        <v>364</v>
      </c>
      <c r="O318" s="5" t="s">
        <v>6317</v>
      </c>
      <c r="P318" s="5" t="s">
        <v>5728</v>
      </c>
    </row>
    <row r="319" spans="1:16" ht="57" customHeight="1" x14ac:dyDescent="0.2">
      <c r="A319" s="5" t="s">
        <v>6318</v>
      </c>
      <c r="B319" s="5" t="s">
        <v>2566</v>
      </c>
      <c r="C319" s="5" t="s">
        <v>2569</v>
      </c>
      <c r="D319" s="5" t="s">
        <v>2501</v>
      </c>
      <c r="E319" s="8">
        <v>11</v>
      </c>
      <c r="F319" s="5" t="s">
        <v>6319</v>
      </c>
      <c r="G319" s="5" t="s">
        <v>5730</v>
      </c>
      <c r="H319" s="5" t="s">
        <v>362</v>
      </c>
      <c r="I319" s="5"/>
      <c r="J319" s="5"/>
      <c r="K319" s="8"/>
      <c r="L319" s="8"/>
      <c r="M319" s="5"/>
      <c r="N319" s="5" t="s">
        <v>364</v>
      </c>
      <c r="O319" s="5" t="s">
        <v>6320</v>
      </c>
      <c r="P319" s="5" t="s">
        <v>5728</v>
      </c>
    </row>
    <row r="320" spans="1:16" ht="50.1" customHeight="1" x14ac:dyDescent="0.2">
      <c r="A320" s="5" t="s">
        <v>6321</v>
      </c>
      <c r="B320" s="5" t="s">
        <v>2574</v>
      </c>
      <c r="C320" s="5" t="s">
        <v>2577</v>
      </c>
      <c r="D320" s="5" t="s">
        <v>2501</v>
      </c>
      <c r="E320" s="8">
        <v>12</v>
      </c>
      <c r="F320" s="5" t="s">
        <v>6322</v>
      </c>
      <c r="G320" s="5" t="s">
        <v>5730</v>
      </c>
      <c r="H320" s="5" t="s">
        <v>362</v>
      </c>
      <c r="I320" s="5"/>
      <c r="J320" s="5"/>
      <c r="K320" s="8"/>
      <c r="L320" s="8"/>
      <c r="M320" s="5"/>
      <c r="N320" s="5" t="s">
        <v>364</v>
      </c>
      <c r="O320" s="5" t="s">
        <v>6323</v>
      </c>
      <c r="P320" s="5" t="s">
        <v>5728</v>
      </c>
    </row>
    <row r="321" spans="1:16" ht="57" customHeight="1" x14ac:dyDescent="0.2">
      <c r="A321" s="5" t="s">
        <v>6324</v>
      </c>
      <c r="B321" s="5" t="s">
        <v>2582</v>
      </c>
      <c r="C321" s="5" t="s">
        <v>2585</v>
      </c>
      <c r="D321" s="5" t="s">
        <v>2501</v>
      </c>
      <c r="E321" s="8">
        <v>13</v>
      </c>
      <c r="F321" s="5" t="s">
        <v>6325</v>
      </c>
      <c r="G321" s="5" t="s">
        <v>5730</v>
      </c>
      <c r="H321" s="5" t="s">
        <v>362</v>
      </c>
      <c r="I321" s="5"/>
      <c r="J321" s="5"/>
      <c r="K321" s="8"/>
      <c r="L321" s="8"/>
      <c r="M321" s="5"/>
      <c r="N321" s="5" t="s">
        <v>364</v>
      </c>
      <c r="O321" s="5" t="s">
        <v>6326</v>
      </c>
      <c r="P321" s="5" t="s">
        <v>5728</v>
      </c>
    </row>
    <row r="322" spans="1:16" ht="50.1" customHeight="1" x14ac:dyDescent="0.2">
      <c r="A322" s="5" t="s">
        <v>47</v>
      </c>
      <c r="B322" s="5" t="s">
        <v>356</v>
      </c>
      <c r="C322" s="5" t="s">
        <v>2598</v>
      </c>
      <c r="D322" s="5" t="s">
        <v>2593</v>
      </c>
      <c r="E322" s="8">
        <v>1</v>
      </c>
      <c r="F322" s="5" t="s">
        <v>115</v>
      </c>
      <c r="G322" s="5" t="s">
        <v>2002</v>
      </c>
      <c r="H322" s="5" t="s">
        <v>362</v>
      </c>
      <c r="I322" s="5"/>
      <c r="J322" s="5"/>
      <c r="K322" s="8"/>
      <c r="L322" s="8"/>
      <c r="M322" s="5"/>
      <c r="N322" s="5" t="s">
        <v>364</v>
      </c>
      <c r="O322" s="5" t="s">
        <v>6327</v>
      </c>
      <c r="P322" s="5" t="s">
        <v>5728</v>
      </c>
    </row>
    <row r="323" spans="1:16" ht="50.1" customHeight="1" x14ac:dyDescent="0.2">
      <c r="A323" s="5" t="s">
        <v>5729</v>
      </c>
      <c r="B323" s="5" t="s">
        <v>368</v>
      </c>
      <c r="C323" s="5" t="s">
        <v>2603</v>
      </c>
      <c r="D323" s="5" t="s">
        <v>2593</v>
      </c>
      <c r="E323" s="8">
        <v>2</v>
      </c>
      <c r="F323" s="5" t="s">
        <v>116</v>
      </c>
      <c r="G323" s="5" t="s">
        <v>5730</v>
      </c>
      <c r="H323" s="5" t="s">
        <v>362</v>
      </c>
      <c r="I323" s="5"/>
      <c r="J323" s="5"/>
      <c r="K323" s="8"/>
      <c r="L323" s="8"/>
      <c r="M323" s="5"/>
      <c r="N323" s="5" t="s">
        <v>364</v>
      </c>
      <c r="O323" s="5" t="s">
        <v>6328</v>
      </c>
      <c r="P323" s="5" t="s">
        <v>5728</v>
      </c>
    </row>
    <row r="324" spans="1:16" ht="50.1" customHeight="1" x14ac:dyDescent="0.2">
      <c r="A324" s="5" t="s">
        <v>42</v>
      </c>
      <c r="B324" s="5" t="s">
        <v>376</v>
      </c>
      <c r="C324" s="5" t="s">
        <v>2608</v>
      </c>
      <c r="D324" s="5" t="s">
        <v>2593</v>
      </c>
      <c r="E324" s="8">
        <v>3</v>
      </c>
      <c r="F324" s="5" t="s">
        <v>117</v>
      </c>
      <c r="G324" s="5" t="s">
        <v>2002</v>
      </c>
      <c r="H324" s="5" t="s">
        <v>362</v>
      </c>
      <c r="I324" s="5"/>
      <c r="J324" s="5"/>
      <c r="K324" s="8"/>
      <c r="L324" s="8"/>
      <c r="M324" s="5"/>
      <c r="N324" s="5" t="s">
        <v>382</v>
      </c>
      <c r="O324" s="5" t="s">
        <v>6329</v>
      </c>
      <c r="P324" s="5" t="s">
        <v>5733</v>
      </c>
    </row>
    <row r="325" spans="1:16" ht="50.1" customHeight="1" x14ac:dyDescent="0.2">
      <c r="A325" s="5" t="s">
        <v>5766</v>
      </c>
      <c r="B325" s="5" t="s">
        <v>500</v>
      </c>
      <c r="C325" s="5" t="s">
        <v>2613</v>
      </c>
      <c r="D325" s="5" t="s">
        <v>2593</v>
      </c>
      <c r="E325" s="8">
        <v>4</v>
      </c>
      <c r="F325" s="5" t="s">
        <v>167</v>
      </c>
      <c r="G325" s="5" t="s">
        <v>5735</v>
      </c>
      <c r="H325" s="5" t="s">
        <v>362</v>
      </c>
      <c r="I325" s="5"/>
      <c r="J325" s="5" t="s">
        <v>767</v>
      </c>
      <c r="K325" s="8">
        <v>1</v>
      </c>
      <c r="L325" s="8">
        <v>1</v>
      </c>
      <c r="M325" s="5"/>
      <c r="N325" s="5" t="s">
        <v>392</v>
      </c>
      <c r="O325" s="5" t="s">
        <v>6330</v>
      </c>
      <c r="P325" s="5" t="s">
        <v>5737</v>
      </c>
    </row>
    <row r="326" spans="1:16" ht="50.1" customHeight="1" x14ac:dyDescent="0.2">
      <c r="A326" s="5" t="s">
        <v>5681</v>
      </c>
      <c r="B326" s="5" t="s">
        <v>2616</v>
      </c>
      <c r="C326" s="5" t="s">
        <v>2619</v>
      </c>
      <c r="D326" s="5" t="s">
        <v>2593</v>
      </c>
      <c r="E326" s="8">
        <v>5</v>
      </c>
      <c r="F326" s="5" t="s">
        <v>6331</v>
      </c>
      <c r="G326" s="5" t="s">
        <v>5784</v>
      </c>
      <c r="H326" s="5" t="s">
        <v>362</v>
      </c>
      <c r="I326" s="5" t="s">
        <v>5785</v>
      </c>
      <c r="J326" s="5" t="s">
        <v>2642</v>
      </c>
      <c r="K326" s="8">
        <v>1</v>
      </c>
      <c r="L326" s="8"/>
      <c r="M326" s="5"/>
      <c r="N326" s="5" t="s">
        <v>571</v>
      </c>
      <c r="O326" s="5" t="s">
        <v>6332</v>
      </c>
      <c r="P326" s="5" t="s">
        <v>5737</v>
      </c>
    </row>
    <row r="327" spans="1:16" ht="50.1" customHeight="1" x14ac:dyDescent="0.2">
      <c r="A327" s="5" t="s">
        <v>6333</v>
      </c>
      <c r="B327" s="5" t="s">
        <v>2624</v>
      </c>
      <c r="C327" s="5" t="s">
        <v>2627</v>
      </c>
      <c r="D327" s="5" t="s">
        <v>2593</v>
      </c>
      <c r="E327" s="8">
        <v>6</v>
      </c>
      <c r="F327" s="5" t="s">
        <v>6334</v>
      </c>
      <c r="G327" s="5" t="s">
        <v>5730</v>
      </c>
      <c r="H327" s="5" t="s">
        <v>362</v>
      </c>
      <c r="I327" s="5"/>
      <c r="J327" s="5"/>
      <c r="K327" s="8"/>
      <c r="L327" s="8"/>
      <c r="M327" s="5"/>
      <c r="N327" s="5" t="s">
        <v>364</v>
      </c>
      <c r="O327" s="5" t="s">
        <v>6335</v>
      </c>
      <c r="P327" s="5" t="s">
        <v>5728</v>
      </c>
    </row>
    <row r="328" spans="1:16" ht="50.1" customHeight="1" x14ac:dyDescent="0.2">
      <c r="A328" s="5" t="s">
        <v>6207</v>
      </c>
      <c r="B328" s="5" t="s">
        <v>2632</v>
      </c>
      <c r="C328" s="5" t="s">
        <v>2635</v>
      </c>
      <c r="D328" s="5" t="s">
        <v>2593</v>
      </c>
      <c r="E328" s="8">
        <v>7</v>
      </c>
      <c r="F328" s="5" t="s">
        <v>6336</v>
      </c>
      <c r="G328" s="5" t="s">
        <v>5730</v>
      </c>
      <c r="H328" s="5" t="s">
        <v>362</v>
      </c>
      <c r="I328" s="5"/>
      <c r="J328" s="5"/>
      <c r="K328" s="8"/>
      <c r="L328" s="8"/>
      <c r="M328" s="5"/>
      <c r="N328" s="5" t="s">
        <v>364</v>
      </c>
      <c r="O328" s="5" t="s">
        <v>6337</v>
      </c>
      <c r="P328" s="5" t="s">
        <v>5728</v>
      </c>
    </row>
    <row r="329" spans="1:16" ht="50.1" customHeight="1" x14ac:dyDescent="0.2">
      <c r="A329" s="5" t="s">
        <v>47</v>
      </c>
      <c r="B329" s="5" t="s">
        <v>356</v>
      </c>
      <c r="C329" s="5" t="s">
        <v>2646</v>
      </c>
      <c r="D329" s="5" t="s">
        <v>2642</v>
      </c>
      <c r="E329" s="8">
        <v>1</v>
      </c>
      <c r="F329" s="5" t="s">
        <v>115</v>
      </c>
      <c r="G329" s="5" t="s">
        <v>2002</v>
      </c>
      <c r="H329" s="5" t="s">
        <v>362</v>
      </c>
      <c r="I329" s="5"/>
      <c r="J329" s="5"/>
      <c r="K329" s="8"/>
      <c r="L329" s="8"/>
      <c r="M329" s="5"/>
      <c r="N329" s="5" t="s">
        <v>364</v>
      </c>
      <c r="O329" s="5" t="s">
        <v>6338</v>
      </c>
      <c r="P329" s="5" t="s">
        <v>5728</v>
      </c>
    </row>
    <row r="330" spans="1:16" ht="50.1" customHeight="1" x14ac:dyDescent="0.2">
      <c r="A330" s="5" t="s">
        <v>5729</v>
      </c>
      <c r="B330" s="5" t="s">
        <v>368</v>
      </c>
      <c r="C330" s="5" t="s">
        <v>2651</v>
      </c>
      <c r="D330" s="5" t="s">
        <v>2642</v>
      </c>
      <c r="E330" s="8">
        <v>2</v>
      </c>
      <c r="F330" s="5" t="s">
        <v>116</v>
      </c>
      <c r="G330" s="5" t="s">
        <v>5730</v>
      </c>
      <c r="H330" s="5" t="s">
        <v>362</v>
      </c>
      <c r="I330" s="5"/>
      <c r="J330" s="5"/>
      <c r="K330" s="8"/>
      <c r="L330" s="8"/>
      <c r="M330" s="5"/>
      <c r="N330" s="5" t="s">
        <v>364</v>
      </c>
      <c r="O330" s="5" t="s">
        <v>6339</v>
      </c>
      <c r="P330" s="5" t="s">
        <v>5728</v>
      </c>
    </row>
    <row r="331" spans="1:16" ht="50.1" customHeight="1" x14ac:dyDescent="0.2">
      <c r="A331" s="5" t="s">
        <v>42</v>
      </c>
      <c r="B331" s="5" t="s">
        <v>376</v>
      </c>
      <c r="C331" s="5" t="s">
        <v>2656</v>
      </c>
      <c r="D331" s="5" t="s">
        <v>2642</v>
      </c>
      <c r="E331" s="8">
        <v>3</v>
      </c>
      <c r="F331" s="5" t="s">
        <v>117</v>
      </c>
      <c r="G331" s="5" t="s">
        <v>2002</v>
      </c>
      <c r="H331" s="5" t="s">
        <v>362</v>
      </c>
      <c r="I331" s="5"/>
      <c r="J331" s="5"/>
      <c r="K331" s="8"/>
      <c r="L331" s="8"/>
      <c r="M331" s="5"/>
      <c r="N331" s="5" t="s">
        <v>382</v>
      </c>
      <c r="O331" s="5" t="s">
        <v>6340</v>
      </c>
      <c r="P331" s="5" t="s">
        <v>5733</v>
      </c>
    </row>
    <row r="332" spans="1:16" ht="50.1" customHeight="1" x14ac:dyDescent="0.2">
      <c r="A332" s="5" t="s">
        <v>5766</v>
      </c>
      <c r="B332" s="5" t="s">
        <v>500</v>
      </c>
      <c r="C332" s="5" t="s">
        <v>2661</v>
      </c>
      <c r="D332" s="5" t="s">
        <v>2642</v>
      </c>
      <c r="E332" s="8">
        <v>4</v>
      </c>
      <c r="F332" s="5" t="s">
        <v>167</v>
      </c>
      <c r="G332" s="5" t="s">
        <v>5735</v>
      </c>
      <c r="H332" s="5" t="s">
        <v>362</v>
      </c>
      <c r="I332" s="5"/>
      <c r="J332" s="5" t="s">
        <v>767</v>
      </c>
      <c r="K332" s="8">
        <v>1</v>
      </c>
      <c r="L332" s="8">
        <v>1</v>
      </c>
      <c r="M332" s="5"/>
      <c r="N332" s="5" t="s">
        <v>392</v>
      </c>
      <c r="O332" s="5" t="s">
        <v>6341</v>
      </c>
      <c r="P332" s="5" t="s">
        <v>5737</v>
      </c>
    </row>
    <row r="333" spans="1:16" ht="50.1" customHeight="1" x14ac:dyDescent="0.2">
      <c r="A333" s="5" t="s">
        <v>6342</v>
      </c>
      <c r="B333" s="5" t="s">
        <v>2664</v>
      </c>
      <c r="C333" s="5" t="s">
        <v>2667</v>
      </c>
      <c r="D333" s="5" t="s">
        <v>2642</v>
      </c>
      <c r="E333" s="8">
        <v>5</v>
      </c>
      <c r="F333" s="5" t="s">
        <v>6343</v>
      </c>
      <c r="G333" s="5" t="s">
        <v>5739</v>
      </c>
      <c r="H333" s="5" t="s">
        <v>362</v>
      </c>
      <c r="I333" s="5" t="s">
        <v>6344</v>
      </c>
      <c r="J333" s="5"/>
      <c r="K333" s="8"/>
      <c r="L333" s="8"/>
      <c r="M333" s="5"/>
      <c r="N333" s="5" t="s">
        <v>402</v>
      </c>
      <c r="O333" s="5" t="s">
        <v>6345</v>
      </c>
      <c r="P333" s="5" t="s">
        <v>5728</v>
      </c>
    </row>
    <row r="334" spans="1:16" ht="50.1" customHeight="1" x14ac:dyDescent="0.2">
      <c r="A334" s="5" t="s">
        <v>6346</v>
      </c>
      <c r="B334" s="5" t="s">
        <v>2672</v>
      </c>
      <c r="C334" s="5" t="s">
        <v>2675</v>
      </c>
      <c r="D334" s="5" t="s">
        <v>2642</v>
      </c>
      <c r="E334" s="8">
        <v>6</v>
      </c>
      <c r="F334" s="5" t="s">
        <v>6347</v>
      </c>
      <c r="G334" s="5" t="s">
        <v>5730</v>
      </c>
      <c r="H334" s="5" t="s">
        <v>362</v>
      </c>
      <c r="I334" s="5"/>
      <c r="J334" s="5"/>
      <c r="K334" s="8"/>
      <c r="L334" s="8"/>
      <c r="M334" s="5"/>
      <c r="N334" s="5" t="s">
        <v>364</v>
      </c>
      <c r="O334" s="5" t="s">
        <v>6348</v>
      </c>
      <c r="P334" s="5" t="s">
        <v>5728</v>
      </c>
    </row>
    <row r="335" spans="1:16" ht="50.1" customHeight="1" x14ac:dyDescent="0.2">
      <c r="A335" s="5" t="s">
        <v>6349</v>
      </c>
      <c r="B335" s="5" t="s">
        <v>2680</v>
      </c>
      <c r="C335" s="5" t="s">
        <v>2683</v>
      </c>
      <c r="D335" s="5" t="s">
        <v>2642</v>
      </c>
      <c r="E335" s="8">
        <v>7</v>
      </c>
      <c r="F335" s="5" t="s">
        <v>6350</v>
      </c>
      <c r="G335" s="5" t="s">
        <v>5730</v>
      </c>
      <c r="H335" s="5" t="s">
        <v>362</v>
      </c>
      <c r="I335" s="5"/>
      <c r="J335" s="5"/>
      <c r="K335" s="8"/>
      <c r="L335" s="8"/>
      <c r="M335" s="5"/>
      <c r="N335" s="5" t="s">
        <v>364</v>
      </c>
      <c r="O335" s="5" t="s">
        <v>6351</v>
      </c>
      <c r="P335" s="5" t="s">
        <v>5728</v>
      </c>
    </row>
    <row r="336" spans="1:16" ht="50.1" customHeight="1" x14ac:dyDescent="0.2">
      <c r="A336" s="5" t="s">
        <v>6352</v>
      </c>
      <c r="B336" s="5" t="s">
        <v>2688</v>
      </c>
      <c r="C336" s="5" t="s">
        <v>2691</v>
      </c>
      <c r="D336" s="5" t="s">
        <v>2642</v>
      </c>
      <c r="E336" s="8">
        <v>8</v>
      </c>
      <c r="F336" s="5" t="s">
        <v>6353</v>
      </c>
      <c r="G336" s="5" t="s">
        <v>5730</v>
      </c>
      <c r="H336" s="5" t="s">
        <v>362</v>
      </c>
      <c r="I336" s="5"/>
      <c r="J336" s="5"/>
      <c r="K336" s="8"/>
      <c r="L336" s="8"/>
      <c r="M336" s="5"/>
      <c r="N336" s="5" t="s">
        <v>364</v>
      </c>
      <c r="O336" s="5" t="s">
        <v>6354</v>
      </c>
      <c r="P336" s="5" t="s">
        <v>5728</v>
      </c>
    </row>
    <row r="337" spans="1:16" ht="57" customHeight="1" x14ac:dyDescent="0.2">
      <c r="A337" s="5" t="s">
        <v>6355</v>
      </c>
      <c r="B337" s="5" t="s">
        <v>2696</v>
      </c>
      <c r="C337" s="5" t="s">
        <v>2699</v>
      </c>
      <c r="D337" s="5" t="s">
        <v>2642</v>
      </c>
      <c r="E337" s="8">
        <v>9</v>
      </c>
      <c r="F337" s="5" t="s">
        <v>6356</v>
      </c>
      <c r="G337" s="5" t="s">
        <v>5769</v>
      </c>
      <c r="H337" s="5" t="s">
        <v>362</v>
      </c>
      <c r="I337" s="5" t="s">
        <v>5770</v>
      </c>
      <c r="J337" s="5"/>
      <c r="K337" s="8"/>
      <c r="L337" s="8"/>
      <c r="M337" s="5"/>
      <c r="N337" s="5" t="s">
        <v>514</v>
      </c>
      <c r="O337" s="5" t="s">
        <v>6357</v>
      </c>
      <c r="P337" s="5" t="s">
        <v>5728</v>
      </c>
    </row>
    <row r="338" spans="1:16" ht="50.1" customHeight="1" x14ac:dyDescent="0.2">
      <c r="A338" s="5" t="s">
        <v>6358</v>
      </c>
      <c r="B338" s="5" t="s">
        <v>2703</v>
      </c>
      <c r="C338" s="5" t="s">
        <v>2706</v>
      </c>
      <c r="D338" s="5" t="s">
        <v>2642</v>
      </c>
      <c r="E338" s="8">
        <v>10</v>
      </c>
      <c r="F338" s="5" t="s">
        <v>6359</v>
      </c>
      <c r="G338" s="5" t="s">
        <v>5730</v>
      </c>
      <c r="H338" s="5" t="s">
        <v>362</v>
      </c>
      <c r="I338" s="5"/>
      <c r="J338" s="5"/>
      <c r="K338" s="8"/>
      <c r="L338" s="8"/>
      <c r="M338" s="5"/>
      <c r="N338" s="5" t="s">
        <v>364</v>
      </c>
      <c r="O338" s="5" t="s">
        <v>6360</v>
      </c>
      <c r="P338" s="5" t="s">
        <v>5728</v>
      </c>
    </row>
    <row r="339" spans="1:16" ht="50.1" customHeight="1" x14ac:dyDescent="0.2">
      <c r="A339" s="5" t="s">
        <v>6026</v>
      </c>
      <c r="B339" s="5" t="s">
        <v>1558</v>
      </c>
      <c r="C339" s="5" t="s">
        <v>2713</v>
      </c>
      <c r="D339" s="5" t="s">
        <v>2642</v>
      </c>
      <c r="E339" s="8">
        <v>11</v>
      </c>
      <c r="F339" s="5" t="s">
        <v>6361</v>
      </c>
      <c r="G339" s="5" t="s">
        <v>5735</v>
      </c>
      <c r="H339" s="5" t="s">
        <v>390</v>
      </c>
      <c r="I339" s="5"/>
      <c r="J339" s="5" t="s">
        <v>668</v>
      </c>
      <c r="K339" s="8">
        <v>0</v>
      </c>
      <c r="L339" s="8">
        <v>1</v>
      </c>
      <c r="M339" s="5"/>
      <c r="N339" s="5" t="s">
        <v>392</v>
      </c>
      <c r="O339" s="5" t="s">
        <v>6362</v>
      </c>
      <c r="P339" s="5" t="s">
        <v>5737</v>
      </c>
    </row>
    <row r="340" spans="1:16" ht="50.1" customHeight="1" x14ac:dyDescent="0.2">
      <c r="A340" s="5" t="s">
        <v>47</v>
      </c>
      <c r="B340" s="5" t="s">
        <v>356</v>
      </c>
      <c r="C340" s="5" t="s">
        <v>2723</v>
      </c>
      <c r="D340" s="5" t="s">
        <v>2719</v>
      </c>
      <c r="E340" s="8">
        <v>1</v>
      </c>
      <c r="F340" s="5" t="s">
        <v>115</v>
      </c>
      <c r="G340" s="5" t="s">
        <v>2002</v>
      </c>
      <c r="H340" s="5" t="s">
        <v>362</v>
      </c>
      <c r="I340" s="5"/>
      <c r="J340" s="5"/>
      <c r="K340" s="8"/>
      <c r="L340" s="8"/>
      <c r="M340" s="5"/>
      <c r="N340" s="5" t="s">
        <v>364</v>
      </c>
      <c r="O340" s="5" t="s">
        <v>6363</v>
      </c>
      <c r="P340" s="5" t="s">
        <v>5728</v>
      </c>
    </row>
    <row r="341" spans="1:16" ht="50.1" customHeight="1" x14ac:dyDescent="0.2">
      <c r="A341" s="5" t="s">
        <v>5729</v>
      </c>
      <c r="B341" s="5" t="s">
        <v>368</v>
      </c>
      <c r="C341" s="5" t="s">
        <v>2728</v>
      </c>
      <c r="D341" s="5" t="s">
        <v>2719</v>
      </c>
      <c r="E341" s="8">
        <v>2</v>
      </c>
      <c r="F341" s="5" t="s">
        <v>116</v>
      </c>
      <c r="G341" s="5" t="s">
        <v>5730</v>
      </c>
      <c r="H341" s="5" t="s">
        <v>362</v>
      </c>
      <c r="I341" s="5"/>
      <c r="J341" s="5"/>
      <c r="K341" s="8"/>
      <c r="L341" s="8"/>
      <c r="M341" s="5"/>
      <c r="N341" s="5" t="s">
        <v>364</v>
      </c>
      <c r="O341" s="5" t="s">
        <v>6364</v>
      </c>
      <c r="P341" s="5" t="s">
        <v>5728</v>
      </c>
    </row>
    <row r="342" spans="1:16" ht="50.1" customHeight="1" x14ac:dyDescent="0.2">
      <c r="A342" s="5" t="s">
        <v>42</v>
      </c>
      <c r="B342" s="5" t="s">
        <v>376</v>
      </c>
      <c r="C342" s="5" t="s">
        <v>2733</v>
      </c>
      <c r="D342" s="5" t="s">
        <v>2719</v>
      </c>
      <c r="E342" s="8">
        <v>3</v>
      </c>
      <c r="F342" s="5" t="s">
        <v>117</v>
      </c>
      <c r="G342" s="5" t="s">
        <v>2002</v>
      </c>
      <c r="H342" s="5" t="s">
        <v>362</v>
      </c>
      <c r="I342" s="5"/>
      <c r="J342" s="5"/>
      <c r="K342" s="8"/>
      <c r="L342" s="8"/>
      <c r="M342" s="5"/>
      <c r="N342" s="5" t="s">
        <v>382</v>
      </c>
      <c r="O342" s="5" t="s">
        <v>6365</v>
      </c>
      <c r="P342" s="5" t="s">
        <v>5733</v>
      </c>
    </row>
    <row r="343" spans="1:16" ht="50.1" customHeight="1" x14ac:dyDescent="0.2">
      <c r="A343" s="5" t="s">
        <v>5766</v>
      </c>
      <c r="B343" s="5" t="s">
        <v>500</v>
      </c>
      <c r="C343" s="5" t="s">
        <v>2738</v>
      </c>
      <c r="D343" s="5" t="s">
        <v>2719</v>
      </c>
      <c r="E343" s="8">
        <v>4</v>
      </c>
      <c r="F343" s="5" t="s">
        <v>167</v>
      </c>
      <c r="G343" s="5" t="s">
        <v>5735</v>
      </c>
      <c r="H343" s="5" t="s">
        <v>362</v>
      </c>
      <c r="I343" s="5"/>
      <c r="J343" s="5" t="s">
        <v>767</v>
      </c>
      <c r="K343" s="8">
        <v>1</v>
      </c>
      <c r="L343" s="8">
        <v>1</v>
      </c>
      <c r="M343" s="5"/>
      <c r="N343" s="5" t="s">
        <v>392</v>
      </c>
      <c r="O343" s="5" t="s">
        <v>6366</v>
      </c>
      <c r="P343" s="5" t="s">
        <v>5737</v>
      </c>
    </row>
    <row r="344" spans="1:16" ht="50.1" customHeight="1" x14ac:dyDescent="0.2">
      <c r="A344" s="5" t="s">
        <v>6367</v>
      </c>
      <c r="B344" s="5" t="s">
        <v>2741</v>
      </c>
      <c r="C344" s="5" t="s">
        <v>2744</v>
      </c>
      <c r="D344" s="5" t="s">
        <v>2719</v>
      </c>
      <c r="E344" s="8">
        <v>5</v>
      </c>
      <c r="F344" s="5" t="s">
        <v>6368</v>
      </c>
      <c r="G344" s="5" t="s">
        <v>5730</v>
      </c>
      <c r="H344" s="5" t="s">
        <v>362</v>
      </c>
      <c r="I344" s="5"/>
      <c r="J344" s="5"/>
      <c r="K344" s="8"/>
      <c r="L344" s="8"/>
      <c r="M344" s="5"/>
      <c r="N344" s="5" t="s">
        <v>364</v>
      </c>
      <c r="O344" s="5" t="s">
        <v>6369</v>
      </c>
      <c r="P344" s="5" t="s">
        <v>5728</v>
      </c>
    </row>
    <row r="345" spans="1:16" ht="50.1" customHeight="1" x14ac:dyDescent="0.2">
      <c r="A345" s="5" t="s">
        <v>6370</v>
      </c>
      <c r="B345" s="5" t="s">
        <v>2749</v>
      </c>
      <c r="C345" s="5" t="s">
        <v>2752</v>
      </c>
      <c r="D345" s="5" t="s">
        <v>2719</v>
      </c>
      <c r="E345" s="8">
        <v>6</v>
      </c>
      <c r="F345" s="5" t="s">
        <v>6371</v>
      </c>
      <c r="G345" s="5" t="s">
        <v>5730</v>
      </c>
      <c r="H345" s="5" t="s">
        <v>362</v>
      </c>
      <c r="I345" s="5"/>
      <c r="J345" s="5"/>
      <c r="K345" s="8"/>
      <c r="L345" s="8"/>
      <c r="M345" s="5"/>
      <c r="N345" s="5" t="s">
        <v>364</v>
      </c>
      <c r="O345" s="5" t="s">
        <v>6372</v>
      </c>
      <c r="P345" s="5" t="s">
        <v>5728</v>
      </c>
    </row>
    <row r="346" spans="1:16" ht="57" customHeight="1" x14ac:dyDescent="0.2">
      <c r="A346" s="5" t="s">
        <v>6373</v>
      </c>
      <c r="B346" s="5" t="s">
        <v>2757</v>
      </c>
      <c r="C346" s="5" t="s">
        <v>2760</v>
      </c>
      <c r="D346" s="5" t="s">
        <v>2719</v>
      </c>
      <c r="E346" s="8">
        <v>7</v>
      </c>
      <c r="F346" s="5" t="s">
        <v>6374</v>
      </c>
      <c r="G346" s="5" t="s">
        <v>5739</v>
      </c>
      <c r="H346" s="5" t="s">
        <v>362</v>
      </c>
      <c r="I346" s="5" t="s">
        <v>6375</v>
      </c>
      <c r="J346" s="5"/>
      <c r="K346" s="8"/>
      <c r="L346" s="8"/>
      <c r="M346" s="5"/>
      <c r="N346" s="5" t="s">
        <v>402</v>
      </c>
      <c r="O346" s="5" t="s">
        <v>6376</v>
      </c>
      <c r="P346" s="5" t="s">
        <v>5728</v>
      </c>
    </row>
    <row r="347" spans="1:16" ht="57" customHeight="1" x14ac:dyDescent="0.2">
      <c r="A347" s="5" t="s">
        <v>6377</v>
      </c>
      <c r="B347" s="5" t="s">
        <v>2765</v>
      </c>
      <c r="C347" s="5" t="s">
        <v>2768</v>
      </c>
      <c r="D347" s="5" t="s">
        <v>2719</v>
      </c>
      <c r="E347" s="8">
        <v>8</v>
      </c>
      <c r="F347" s="5" t="s">
        <v>6378</v>
      </c>
      <c r="G347" s="5" t="s">
        <v>5730</v>
      </c>
      <c r="H347" s="5" t="s">
        <v>362</v>
      </c>
      <c r="I347" s="5"/>
      <c r="J347" s="5"/>
      <c r="K347" s="8"/>
      <c r="L347" s="8"/>
      <c r="M347" s="5"/>
      <c r="N347" s="5" t="s">
        <v>364</v>
      </c>
      <c r="O347" s="5" t="s">
        <v>6379</v>
      </c>
      <c r="P347" s="5" t="s">
        <v>5728</v>
      </c>
    </row>
    <row r="348" spans="1:16" ht="57" customHeight="1" x14ac:dyDescent="0.2">
      <c r="A348" s="5" t="s">
        <v>6380</v>
      </c>
      <c r="B348" s="5" t="s">
        <v>2773</v>
      </c>
      <c r="C348" s="5" t="s">
        <v>2776</v>
      </c>
      <c r="D348" s="5" t="s">
        <v>2719</v>
      </c>
      <c r="E348" s="8">
        <v>9</v>
      </c>
      <c r="F348" s="5" t="s">
        <v>6381</v>
      </c>
      <c r="G348" s="5" t="s">
        <v>5730</v>
      </c>
      <c r="H348" s="5" t="s">
        <v>362</v>
      </c>
      <c r="I348" s="5"/>
      <c r="J348" s="5"/>
      <c r="K348" s="8"/>
      <c r="L348" s="8"/>
      <c r="M348" s="5"/>
      <c r="N348" s="5" t="s">
        <v>364</v>
      </c>
      <c r="O348" s="5" t="s">
        <v>6382</v>
      </c>
      <c r="P348" s="5" t="s">
        <v>5728</v>
      </c>
    </row>
    <row r="349" spans="1:16" ht="57" customHeight="1" x14ac:dyDescent="0.2">
      <c r="A349" s="5" t="s">
        <v>6333</v>
      </c>
      <c r="B349" s="5" t="s">
        <v>2781</v>
      </c>
      <c r="C349" s="5" t="s">
        <v>2784</v>
      </c>
      <c r="D349" s="5" t="s">
        <v>2719</v>
      </c>
      <c r="E349" s="8">
        <v>10</v>
      </c>
      <c r="F349" s="5" t="s">
        <v>6383</v>
      </c>
      <c r="G349" s="5" t="s">
        <v>5730</v>
      </c>
      <c r="H349" s="5" t="s">
        <v>362</v>
      </c>
      <c r="I349" s="5"/>
      <c r="J349" s="5"/>
      <c r="K349" s="8"/>
      <c r="L349" s="8"/>
      <c r="M349" s="5"/>
      <c r="N349" s="5" t="s">
        <v>364</v>
      </c>
      <c r="O349" s="5" t="s">
        <v>6384</v>
      </c>
      <c r="P349" s="5" t="s">
        <v>5728</v>
      </c>
    </row>
    <row r="350" spans="1:16" ht="50.1" customHeight="1" x14ac:dyDescent="0.2">
      <c r="A350" s="5" t="s">
        <v>47</v>
      </c>
      <c r="B350" s="5" t="s">
        <v>356</v>
      </c>
      <c r="C350" s="5" t="s">
        <v>2796</v>
      </c>
      <c r="D350" s="5" t="s">
        <v>2791</v>
      </c>
      <c r="E350" s="8">
        <v>1</v>
      </c>
      <c r="F350" s="5" t="s">
        <v>115</v>
      </c>
      <c r="G350" s="5" t="s">
        <v>2002</v>
      </c>
      <c r="H350" s="5" t="s">
        <v>362</v>
      </c>
      <c r="I350" s="5"/>
      <c r="J350" s="5"/>
      <c r="K350" s="8"/>
      <c r="L350" s="8"/>
      <c r="M350" s="5"/>
      <c r="N350" s="5" t="s">
        <v>364</v>
      </c>
      <c r="O350" s="5" t="s">
        <v>6385</v>
      </c>
      <c r="P350" s="5" t="s">
        <v>5728</v>
      </c>
    </row>
    <row r="351" spans="1:16" ht="50.1" customHeight="1" x14ac:dyDescent="0.2">
      <c r="A351" s="5" t="s">
        <v>5729</v>
      </c>
      <c r="B351" s="5" t="s">
        <v>368</v>
      </c>
      <c r="C351" s="5" t="s">
        <v>2801</v>
      </c>
      <c r="D351" s="5" t="s">
        <v>2791</v>
      </c>
      <c r="E351" s="8">
        <v>2</v>
      </c>
      <c r="F351" s="5" t="s">
        <v>116</v>
      </c>
      <c r="G351" s="5" t="s">
        <v>5730</v>
      </c>
      <c r="H351" s="5" t="s">
        <v>362</v>
      </c>
      <c r="I351" s="5"/>
      <c r="J351" s="5"/>
      <c r="K351" s="8"/>
      <c r="L351" s="8"/>
      <c r="M351" s="5"/>
      <c r="N351" s="5" t="s">
        <v>364</v>
      </c>
      <c r="O351" s="5" t="s">
        <v>6386</v>
      </c>
      <c r="P351" s="5" t="s">
        <v>5728</v>
      </c>
    </row>
    <row r="352" spans="1:16" ht="50.1" customHeight="1" x14ac:dyDescent="0.2">
      <c r="A352" s="5" t="s">
        <v>42</v>
      </c>
      <c r="B352" s="5" t="s">
        <v>376</v>
      </c>
      <c r="C352" s="5" t="s">
        <v>2806</v>
      </c>
      <c r="D352" s="5" t="s">
        <v>2791</v>
      </c>
      <c r="E352" s="8">
        <v>3</v>
      </c>
      <c r="F352" s="5" t="s">
        <v>117</v>
      </c>
      <c r="G352" s="5" t="s">
        <v>2002</v>
      </c>
      <c r="H352" s="5" t="s">
        <v>362</v>
      </c>
      <c r="I352" s="5"/>
      <c r="J352" s="5"/>
      <c r="K352" s="8"/>
      <c r="L352" s="8"/>
      <c r="M352" s="5"/>
      <c r="N352" s="5" t="s">
        <v>382</v>
      </c>
      <c r="O352" s="5" t="s">
        <v>6387</v>
      </c>
      <c r="P352" s="5" t="s">
        <v>5733</v>
      </c>
    </row>
    <row r="353" spans="1:16" ht="50.1" customHeight="1" x14ac:dyDescent="0.2">
      <c r="A353" s="5" t="s">
        <v>5766</v>
      </c>
      <c r="B353" s="5" t="s">
        <v>500</v>
      </c>
      <c r="C353" s="5" t="s">
        <v>2811</v>
      </c>
      <c r="D353" s="5" t="s">
        <v>2791</v>
      </c>
      <c r="E353" s="8">
        <v>4</v>
      </c>
      <c r="F353" s="5" t="s">
        <v>167</v>
      </c>
      <c r="G353" s="5" t="s">
        <v>5735</v>
      </c>
      <c r="H353" s="5" t="s">
        <v>362</v>
      </c>
      <c r="I353" s="5"/>
      <c r="J353" s="5" t="s">
        <v>767</v>
      </c>
      <c r="K353" s="8">
        <v>1</v>
      </c>
      <c r="L353" s="8">
        <v>1</v>
      </c>
      <c r="M353" s="5"/>
      <c r="N353" s="5" t="s">
        <v>392</v>
      </c>
      <c r="O353" s="5" t="s">
        <v>6388</v>
      </c>
      <c r="P353" s="5" t="s">
        <v>5737</v>
      </c>
    </row>
    <row r="354" spans="1:16" ht="50.1" customHeight="1" x14ac:dyDescent="0.2">
      <c r="A354" s="5" t="s">
        <v>6389</v>
      </c>
      <c r="B354" s="5" t="s">
        <v>420</v>
      </c>
      <c r="C354" s="5" t="s">
        <v>2816</v>
      </c>
      <c r="D354" s="5" t="s">
        <v>2791</v>
      </c>
      <c r="E354" s="8">
        <v>5</v>
      </c>
      <c r="F354" s="5" t="s">
        <v>6390</v>
      </c>
      <c r="G354" s="5" t="s">
        <v>5735</v>
      </c>
      <c r="H354" s="5" t="s">
        <v>362</v>
      </c>
      <c r="I354" s="5"/>
      <c r="J354" s="5" t="s">
        <v>1177</v>
      </c>
      <c r="K354" s="8">
        <v>1</v>
      </c>
      <c r="L354" s="8">
        <v>1</v>
      </c>
      <c r="M354" s="5"/>
      <c r="N354" s="5" t="s">
        <v>392</v>
      </c>
      <c r="O354" s="5" t="s">
        <v>6391</v>
      </c>
      <c r="P354" s="5" t="s">
        <v>5737</v>
      </c>
    </row>
    <row r="355" spans="1:16" ht="50.1" customHeight="1" x14ac:dyDescent="0.2">
      <c r="A355" s="5" t="s">
        <v>6392</v>
      </c>
      <c r="B355" s="5" t="s">
        <v>420</v>
      </c>
      <c r="C355" s="5" t="s">
        <v>2821</v>
      </c>
      <c r="D355" s="5" t="s">
        <v>2791</v>
      </c>
      <c r="E355" s="8">
        <v>6</v>
      </c>
      <c r="F355" s="5" t="s">
        <v>6393</v>
      </c>
      <c r="G355" s="5" t="s">
        <v>5735</v>
      </c>
      <c r="H355" s="5" t="s">
        <v>362</v>
      </c>
      <c r="I355" s="5"/>
      <c r="J355" s="5" t="s">
        <v>1177</v>
      </c>
      <c r="K355" s="8">
        <v>1</v>
      </c>
      <c r="L355" s="8">
        <v>1</v>
      </c>
      <c r="M355" s="5"/>
      <c r="N355" s="5" t="s">
        <v>392</v>
      </c>
      <c r="O355" s="5" t="s">
        <v>6394</v>
      </c>
      <c r="P355" s="5" t="s">
        <v>5737</v>
      </c>
    </row>
    <row r="356" spans="1:16" ht="57" customHeight="1" x14ac:dyDescent="0.2">
      <c r="A356" s="5" t="s">
        <v>6198</v>
      </c>
      <c r="B356" s="5" t="s">
        <v>2824</v>
      </c>
      <c r="C356" s="5" t="s">
        <v>2827</v>
      </c>
      <c r="D356" s="5" t="s">
        <v>2791</v>
      </c>
      <c r="E356" s="8">
        <v>7</v>
      </c>
      <c r="F356" s="5" t="s">
        <v>6395</v>
      </c>
      <c r="G356" s="5" t="s">
        <v>2002</v>
      </c>
      <c r="H356" s="5" t="s">
        <v>362</v>
      </c>
      <c r="I356" s="5"/>
      <c r="J356" s="5"/>
      <c r="K356" s="8"/>
      <c r="L356" s="8"/>
      <c r="M356" s="5"/>
      <c r="N356" s="5" t="s">
        <v>364</v>
      </c>
      <c r="O356" s="5" t="s">
        <v>6396</v>
      </c>
      <c r="P356" s="5" t="s">
        <v>5728</v>
      </c>
    </row>
    <row r="357" spans="1:16" ht="57" customHeight="1" x14ac:dyDescent="0.2">
      <c r="A357" s="5" t="s">
        <v>6397</v>
      </c>
      <c r="B357" s="5" t="s">
        <v>2831</v>
      </c>
      <c r="C357" s="5" t="s">
        <v>2834</v>
      </c>
      <c r="D357" s="5" t="s">
        <v>2791</v>
      </c>
      <c r="E357" s="8">
        <v>8</v>
      </c>
      <c r="F357" s="5" t="s">
        <v>6398</v>
      </c>
      <c r="G357" s="5" t="s">
        <v>5769</v>
      </c>
      <c r="H357" s="5" t="s">
        <v>362</v>
      </c>
      <c r="I357" s="5" t="s">
        <v>5770</v>
      </c>
      <c r="J357" s="5"/>
      <c r="K357" s="8"/>
      <c r="L357" s="8"/>
      <c r="M357" s="5"/>
      <c r="N357" s="5" t="s">
        <v>514</v>
      </c>
      <c r="O357" s="5" t="s">
        <v>6399</v>
      </c>
      <c r="P357" s="5" t="s">
        <v>5728</v>
      </c>
    </row>
    <row r="358" spans="1:16" ht="72" customHeight="1" x14ac:dyDescent="0.2">
      <c r="A358" s="5" t="s">
        <v>6400</v>
      </c>
      <c r="B358" s="5" t="s">
        <v>2838</v>
      </c>
      <c r="C358" s="5" t="s">
        <v>2841</v>
      </c>
      <c r="D358" s="5" t="s">
        <v>2791</v>
      </c>
      <c r="E358" s="8">
        <v>9</v>
      </c>
      <c r="F358" s="5" t="s">
        <v>6401</v>
      </c>
      <c r="G358" s="5" t="s">
        <v>5730</v>
      </c>
      <c r="H358" s="5" t="s">
        <v>362</v>
      </c>
      <c r="I358" s="5"/>
      <c r="J358" s="5"/>
      <c r="K358" s="8"/>
      <c r="L358" s="8"/>
      <c r="M358" s="5"/>
      <c r="N358" s="5" t="s">
        <v>364</v>
      </c>
      <c r="O358" s="5" t="s">
        <v>6402</v>
      </c>
      <c r="P358" s="5" t="s">
        <v>5728</v>
      </c>
    </row>
    <row r="359" spans="1:16" ht="57" customHeight="1" x14ac:dyDescent="0.2">
      <c r="A359" s="5" t="s">
        <v>6403</v>
      </c>
      <c r="B359" s="5" t="s">
        <v>2846</v>
      </c>
      <c r="C359" s="5" t="s">
        <v>2849</v>
      </c>
      <c r="D359" s="5" t="s">
        <v>2791</v>
      </c>
      <c r="E359" s="8">
        <v>10</v>
      </c>
      <c r="F359" s="5" t="s">
        <v>6404</v>
      </c>
      <c r="G359" s="5" t="s">
        <v>5730</v>
      </c>
      <c r="H359" s="5" t="s">
        <v>362</v>
      </c>
      <c r="I359" s="5"/>
      <c r="J359" s="5"/>
      <c r="K359" s="8"/>
      <c r="L359" s="8"/>
      <c r="M359" s="5"/>
      <c r="N359" s="5" t="s">
        <v>364</v>
      </c>
      <c r="O359" s="5" t="s">
        <v>6405</v>
      </c>
      <c r="P359" s="5" t="s">
        <v>5728</v>
      </c>
    </row>
    <row r="360" spans="1:16" ht="57" customHeight="1" x14ac:dyDescent="0.2">
      <c r="A360" s="5" t="s">
        <v>6406</v>
      </c>
      <c r="B360" s="5" t="s">
        <v>2854</v>
      </c>
      <c r="C360" s="5" t="s">
        <v>2857</v>
      </c>
      <c r="D360" s="5" t="s">
        <v>2791</v>
      </c>
      <c r="E360" s="8">
        <v>11</v>
      </c>
      <c r="F360" s="5" t="s">
        <v>6407</v>
      </c>
      <c r="G360" s="5" t="s">
        <v>5730</v>
      </c>
      <c r="H360" s="5" t="s">
        <v>362</v>
      </c>
      <c r="I360" s="5"/>
      <c r="J360" s="5"/>
      <c r="K360" s="8"/>
      <c r="L360" s="8"/>
      <c r="M360" s="5"/>
      <c r="N360" s="5" t="s">
        <v>364</v>
      </c>
      <c r="O360" s="5" t="s">
        <v>6408</v>
      </c>
      <c r="P360" s="5" t="s">
        <v>5728</v>
      </c>
    </row>
    <row r="361" spans="1:16" ht="57" customHeight="1" x14ac:dyDescent="0.2">
      <c r="A361" s="5" t="s">
        <v>6409</v>
      </c>
      <c r="B361" s="5" t="s">
        <v>2862</v>
      </c>
      <c r="C361" s="5" t="s">
        <v>2865</v>
      </c>
      <c r="D361" s="5" t="s">
        <v>2791</v>
      </c>
      <c r="E361" s="8">
        <v>12</v>
      </c>
      <c r="F361" s="5" t="s">
        <v>6410</v>
      </c>
      <c r="G361" s="5" t="s">
        <v>5739</v>
      </c>
      <c r="H361" s="5" t="s">
        <v>362</v>
      </c>
      <c r="I361" s="5" t="s">
        <v>6411</v>
      </c>
      <c r="J361" s="5"/>
      <c r="K361" s="8"/>
      <c r="L361" s="8"/>
      <c r="M361" s="5"/>
      <c r="N361" s="5" t="s">
        <v>402</v>
      </c>
      <c r="O361" s="5" t="s">
        <v>6412</v>
      </c>
      <c r="P361" s="5" t="s">
        <v>5728</v>
      </c>
    </row>
    <row r="362" spans="1:16" ht="57" customHeight="1" x14ac:dyDescent="0.2">
      <c r="A362" s="5" t="s">
        <v>6413</v>
      </c>
      <c r="B362" s="5" t="s">
        <v>2870</v>
      </c>
      <c r="C362" s="5" t="s">
        <v>2873</v>
      </c>
      <c r="D362" s="5" t="s">
        <v>2791</v>
      </c>
      <c r="E362" s="8">
        <v>13</v>
      </c>
      <c r="F362" s="5" t="s">
        <v>6414</v>
      </c>
      <c r="G362" s="5" t="s">
        <v>5730</v>
      </c>
      <c r="H362" s="5" t="s">
        <v>362</v>
      </c>
      <c r="I362" s="5"/>
      <c r="J362" s="5"/>
      <c r="K362" s="8"/>
      <c r="L362" s="8"/>
      <c r="M362" s="5"/>
      <c r="N362" s="5" t="s">
        <v>364</v>
      </c>
      <c r="O362" s="5" t="s">
        <v>6415</v>
      </c>
      <c r="P362" s="5" t="s">
        <v>5728</v>
      </c>
    </row>
    <row r="363" spans="1:16" ht="57" customHeight="1" x14ac:dyDescent="0.2">
      <c r="A363" s="5" t="s">
        <v>6416</v>
      </c>
      <c r="B363" s="5" t="s">
        <v>2878</v>
      </c>
      <c r="C363" s="5" t="s">
        <v>2881</v>
      </c>
      <c r="D363" s="5" t="s">
        <v>2791</v>
      </c>
      <c r="E363" s="8">
        <v>14</v>
      </c>
      <c r="F363" s="5" t="s">
        <v>6417</v>
      </c>
      <c r="G363" s="5" t="s">
        <v>5739</v>
      </c>
      <c r="H363" s="5" t="s">
        <v>362</v>
      </c>
      <c r="I363" s="5" t="s">
        <v>6418</v>
      </c>
      <c r="J363" s="5"/>
      <c r="K363" s="8"/>
      <c r="L363" s="8"/>
      <c r="M363" s="5"/>
      <c r="N363" s="5" t="s">
        <v>402</v>
      </c>
      <c r="O363" s="5" t="s">
        <v>6419</v>
      </c>
      <c r="P363" s="5" t="s">
        <v>5728</v>
      </c>
    </row>
    <row r="364" spans="1:16" ht="87" customHeight="1" x14ac:dyDescent="0.2">
      <c r="A364" s="5" t="s">
        <v>6420</v>
      </c>
      <c r="B364" s="5" t="s">
        <v>2886</v>
      </c>
      <c r="C364" s="5" t="s">
        <v>2889</v>
      </c>
      <c r="D364" s="5" t="s">
        <v>2791</v>
      </c>
      <c r="E364" s="8">
        <v>15</v>
      </c>
      <c r="F364" s="5" t="s">
        <v>6421</v>
      </c>
      <c r="G364" s="5" t="s">
        <v>4467</v>
      </c>
      <c r="H364" s="5" t="s">
        <v>362</v>
      </c>
      <c r="I364" s="5"/>
      <c r="J364" s="5"/>
      <c r="K364" s="8"/>
      <c r="L364" s="8"/>
      <c r="M364" s="5" t="s">
        <v>2886</v>
      </c>
      <c r="N364" s="5" t="s">
        <v>364</v>
      </c>
      <c r="O364" s="5" t="s">
        <v>6422</v>
      </c>
      <c r="P364" s="5" t="s">
        <v>6113</v>
      </c>
    </row>
    <row r="365" spans="1:16" ht="50.1" customHeight="1" x14ac:dyDescent="0.2">
      <c r="A365" s="5" t="s">
        <v>47</v>
      </c>
      <c r="B365" s="5" t="s">
        <v>356</v>
      </c>
      <c r="C365" s="5" t="s">
        <v>2902</v>
      </c>
      <c r="D365" s="5" t="s">
        <v>2897</v>
      </c>
      <c r="E365" s="8">
        <v>1</v>
      </c>
      <c r="F365" s="5" t="s">
        <v>115</v>
      </c>
      <c r="G365" s="5" t="s">
        <v>2002</v>
      </c>
      <c r="H365" s="5" t="s">
        <v>362</v>
      </c>
      <c r="I365" s="5"/>
      <c r="J365" s="5"/>
      <c r="K365" s="8"/>
      <c r="L365" s="8"/>
      <c r="M365" s="5"/>
      <c r="N365" s="5" t="s">
        <v>364</v>
      </c>
      <c r="O365" s="5" t="s">
        <v>6423</v>
      </c>
      <c r="P365" s="5" t="s">
        <v>5728</v>
      </c>
    </row>
    <row r="366" spans="1:16" ht="50.1" customHeight="1" x14ac:dyDescent="0.2">
      <c r="A366" s="5" t="s">
        <v>5729</v>
      </c>
      <c r="B366" s="5" t="s">
        <v>368</v>
      </c>
      <c r="C366" s="5" t="s">
        <v>2907</v>
      </c>
      <c r="D366" s="5" t="s">
        <v>2897</v>
      </c>
      <c r="E366" s="8">
        <v>2</v>
      </c>
      <c r="F366" s="5" t="s">
        <v>116</v>
      </c>
      <c r="G366" s="5" t="s">
        <v>5730</v>
      </c>
      <c r="H366" s="5" t="s">
        <v>362</v>
      </c>
      <c r="I366" s="5"/>
      <c r="J366" s="5"/>
      <c r="K366" s="8"/>
      <c r="L366" s="8"/>
      <c r="M366" s="5"/>
      <c r="N366" s="5" t="s">
        <v>364</v>
      </c>
      <c r="O366" s="5" t="s">
        <v>6424</v>
      </c>
      <c r="P366" s="5" t="s">
        <v>5728</v>
      </c>
    </row>
    <row r="367" spans="1:16" ht="50.1" customHeight="1" x14ac:dyDescent="0.2">
      <c r="A367" s="5" t="s">
        <v>42</v>
      </c>
      <c r="B367" s="5" t="s">
        <v>376</v>
      </c>
      <c r="C367" s="5" t="s">
        <v>2912</v>
      </c>
      <c r="D367" s="5" t="s">
        <v>2897</v>
      </c>
      <c r="E367" s="8">
        <v>3</v>
      </c>
      <c r="F367" s="5" t="s">
        <v>117</v>
      </c>
      <c r="G367" s="5" t="s">
        <v>2002</v>
      </c>
      <c r="H367" s="5" t="s">
        <v>362</v>
      </c>
      <c r="I367" s="5"/>
      <c r="J367" s="5"/>
      <c r="K367" s="8"/>
      <c r="L367" s="8"/>
      <c r="M367" s="5"/>
      <c r="N367" s="5" t="s">
        <v>382</v>
      </c>
      <c r="O367" s="5" t="s">
        <v>6425</v>
      </c>
      <c r="P367" s="5" t="s">
        <v>5733</v>
      </c>
    </row>
    <row r="368" spans="1:16" ht="50.1" customHeight="1" x14ac:dyDescent="0.2">
      <c r="A368" s="5" t="s">
        <v>5766</v>
      </c>
      <c r="B368" s="5" t="s">
        <v>500</v>
      </c>
      <c r="C368" s="5" t="s">
        <v>2917</v>
      </c>
      <c r="D368" s="5" t="s">
        <v>2897</v>
      </c>
      <c r="E368" s="8">
        <v>4</v>
      </c>
      <c r="F368" s="5" t="s">
        <v>167</v>
      </c>
      <c r="G368" s="5" t="s">
        <v>5735</v>
      </c>
      <c r="H368" s="5" t="s">
        <v>362</v>
      </c>
      <c r="I368" s="5"/>
      <c r="J368" s="5" t="s">
        <v>767</v>
      </c>
      <c r="K368" s="8">
        <v>1</v>
      </c>
      <c r="L368" s="8">
        <v>1</v>
      </c>
      <c r="M368" s="5"/>
      <c r="N368" s="5" t="s">
        <v>392</v>
      </c>
      <c r="O368" s="5" t="s">
        <v>6426</v>
      </c>
      <c r="P368" s="5" t="s">
        <v>5737</v>
      </c>
    </row>
    <row r="369" spans="1:16" ht="50.1" customHeight="1" x14ac:dyDescent="0.2">
      <c r="A369" s="5" t="s">
        <v>5790</v>
      </c>
      <c r="B369" s="5" t="s">
        <v>595</v>
      </c>
      <c r="C369" s="5" t="s">
        <v>2922</v>
      </c>
      <c r="D369" s="5" t="s">
        <v>2897</v>
      </c>
      <c r="E369" s="8">
        <v>5</v>
      </c>
      <c r="F369" s="5" t="s">
        <v>6260</v>
      </c>
      <c r="G369" s="5" t="s">
        <v>5735</v>
      </c>
      <c r="H369" s="5" t="s">
        <v>362</v>
      </c>
      <c r="I369" s="5"/>
      <c r="J369" s="5" t="s">
        <v>348</v>
      </c>
      <c r="K369" s="8">
        <v>1</v>
      </c>
      <c r="L369" s="8">
        <v>1</v>
      </c>
      <c r="M369" s="5"/>
      <c r="N369" s="5" t="s">
        <v>392</v>
      </c>
      <c r="O369" s="5" t="s">
        <v>6427</v>
      </c>
      <c r="P369" s="5" t="s">
        <v>5737</v>
      </c>
    </row>
    <row r="370" spans="1:16" ht="50.1" customHeight="1" x14ac:dyDescent="0.2">
      <c r="A370" s="5" t="s">
        <v>6195</v>
      </c>
      <c r="B370" s="5" t="s">
        <v>2203</v>
      </c>
      <c r="C370" s="5" t="s">
        <v>2927</v>
      </c>
      <c r="D370" s="5" t="s">
        <v>2897</v>
      </c>
      <c r="E370" s="8">
        <v>6</v>
      </c>
      <c r="F370" s="5" t="s">
        <v>6428</v>
      </c>
      <c r="G370" s="5" t="s">
        <v>5735</v>
      </c>
      <c r="H370" s="5" t="s">
        <v>362</v>
      </c>
      <c r="I370" s="5"/>
      <c r="J370" s="5" t="s">
        <v>1097</v>
      </c>
      <c r="K370" s="8">
        <v>1</v>
      </c>
      <c r="L370" s="8">
        <v>1</v>
      </c>
      <c r="M370" s="5"/>
      <c r="N370" s="5" t="s">
        <v>392</v>
      </c>
      <c r="O370" s="5" t="s">
        <v>6429</v>
      </c>
      <c r="P370" s="5" t="s">
        <v>5737</v>
      </c>
    </row>
    <row r="371" spans="1:16" ht="50.1" customHeight="1" x14ac:dyDescent="0.2">
      <c r="A371" s="5" t="s">
        <v>5757</v>
      </c>
      <c r="B371" s="5" t="s">
        <v>457</v>
      </c>
      <c r="C371" s="5" t="s">
        <v>2932</v>
      </c>
      <c r="D371" s="5" t="s">
        <v>2897</v>
      </c>
      <c r="E371" s="8">
        <v>7</v>
      </c>
      <c r="F371" s="5" t="s">
        <v>6264</v>
      </c>
      <c r="G371" s="5" t="s">
        <v>5735</v>
      </c>
      <c r="H371" s="5" t="s">
        <v>362</v>
      </c>
      <c r="I371" s="5"/>
      <c r="J371" s="5" t="s">
        <v>2593</v>
      </c>
      <c r="K371" s="8">
        <v>1</v>
      </c>
      <c r="L371" s="8">
        <v>1</v>
      </c>
      <c r="M371" s="5"/>
      <c r="N371" s="5" t="s">
        <v>392</v>
      </c>
      <c r="O371" s="5" t="s">
        <v>6430</v>
      </c>
      <c r="P371" s="5" t="s">
        <v>5737</v>
      </c>
    </row>
    <row r="372" spans="1:16" ht="50.1" customHeight="1" x14ac:dyDescent="0.2">
      <c r="A372" s="5" t="s">
        <v>5759</v>
      </c>
      <c r="B372" s="5" t="s">
        <v>465</v>
      </c>
      <c r="C372" s="5" t="s">
        <v>2937</v>
      </c>
      <c r="D372" s="5" t="s">
        <v>2897</v>
      </c>
      <c r="E372" s="8">
        <v>8</v>
      </c>
      <c r="F372" s="5" t="s">
        <v>6266</v>
      </c>
      <c r="G372" s="5" t="s">
        <v>5735</v>
      </c>
      <c r="H372" s="5" t="s">
        <v>362</v>
      </c>
      <c r="I372" s="5"/>
      <c r="J372" s="5" t="s">
        <v>2719</v>
      </c>
      <c r="K372" s="8">
        <v>1</v>
      </c>
      <c r="L372" s="8">
        <v>1</v>
      </c>
      <c r="M372" s="5"/>
      <c r="N372" s="5" t="s">
        <v>392</v>
      </c>
      <c r="O372" s="5" t="s">
        <v>6431</v>
      </c>
      <c r="P372" s="5" t="s">
        <v>5737</v>
      </c>
    </row>
    <row r="373" spans="1:16" ht="57" customHeight="1" x14ac:dyDescent="0.2">
      <c r="A373" s="5" t="s">
        <v>6432</v>
      </c>
      <c r="B373" s="5" t="s">
        <v>2940</v>
      </c>
      <c r="C373" s="5" t="s">
        <v>2943</v>
      </c>
      <c r="D373" s="5" t="s">
        <v>2897</v>
      </c>
      <c r="E373" s="8">
        <v>9</v>
      </c>
      <c r="F373" s="5" t="s">
        <v>6433</v>
      </c>
      <c r="G373" s="5" t="s">
        <v>5730</v>
      </c>
      <c r="H373" s="5" t="s">
        <v>362</v>
      </c>
      <c r="I373" s="5"/>
      <c r="J373" s="5"/>
      <c r="K373" s="8"/>
      <c r="L373" s="8"/>
      <c r="M373" s="5"/>
      <c r="N373" s="5" t="s">
        <v>364</v>
      </c>
      <c r="O373" s="5" t="s">
        <v>6434</v>
      </c>
      <c r="P373" s="5" t="s">
        <v>5728</v>
      </c>
    </row>
    <row r="374" spans="1:16" ht="72" customHeight="1" x14ac:dyDescent="0.2">
      <c r="A374" s="5" t="s">
        <v>6435</v>
      </c>
      <c r="B374" s="5" t="s">
        <v>2948</v>
      </c>
      <c r="C374" s="5" t="s">
        <v>2951</v>
      </c>
      <c r="D374" s="5" t="s">
        <v>2897</v>
      </c>
      <c r="E374" s="8">
        <v>10</v>
      </c>
      <c r="F374" s="5" t="s">
        <v>6436</v>
      </c>
      <c r="G374" s="5" t="s">
        <v>5730</v>
      </c>
      <c r="H374" s="5" t="s">
        <v>362</v>
      </c>
      <c r="I374" s="5"/>
      <c r="J374" s="5"/>
      <c r="K374" s="8"/>
      <c r="L374" s="8"/>
      <c r="M374" s="5"/>
      <c r="N374" s="5" t="s">
        <v>364</v>
      </c>
      <c r="O374" s="5" t="s">
        <v>6437</v>
      </c>
      <c r="P374" s="5" t="s">
        <v>5728</v>
      </c>
    </row>
    <row r="375" spans="1:16" ht="72" customHeight="1" x14ac:dyDescent="0.2">
      <c r="A375" s="5" t="s">
        <v>6438</v>
      </c>
      <c r="B375" s="5" t="s">
        <v>2956</v>
      </c>
      <c r="C375" s="5" t="s">
        <v>2959</v>
      </c>
      <c r="D375" s="5" t="s">
        <v>2897</v>
      </c>
      <c r="E375" s="8">
        <v>11</v>
      </c>
      <c r="F375" s="5" t="s">
        <v>6439</v>
      </c>
      <c r="G375" s="5" t="s">
        <v>5784</v>
      </c>
      <c r="H375" s="5" t="s">
        <v>362</v>
      </c>
      <c r="I375" s="5" t="s">
        <v>5785</v>
      </c>
      <c r="J375" s="5" t="s">
        <v>767</v>
      </c>
      <c r="K375" s="8">
        <v>1</v>
      </c>
      <c r="L375" s="8"/>
      <c r="M375" s="5"/>
      <c r="N375" s="5" t="s">
        <v>571</v>
      </c>
      <c r="O375" s="5" t="s">
        <v>6440</v>
      </c>
      <c r="P375" s="5" t="s">
        <v>5737</v>
      </c>
    </row>
    <row r="376" spans="1:16" ht="57" customHeight="1" x14ac:dyDescent="0.2">
      <c r="A376" s="5" t="s">
        <v>6441</v>
      </c>
      <c r="B376" s="5" t="s">
        <v>2963</v>
      </c>
      <c r="C376" s="5" t="s">
        <v>2966</v>
      </c>
      <c r="D376" s="5" t="s">
        <v>2897</v>
      </c>
      <c r="E376" s="8">
        <v>12</v>
      </c>
      <c r="F376" s="5" t="s">
        <v>6442</v>
      </c>
      <c r="G376" s="5" t="s">
        <v>5739</v>
      </c>
      <c r="H376" s="5" t="s">
        <v>362</v>
      </c>
      <c r="I376" s="5" t="s">
        <v>6443</v>
      </c>
      <c r="J376" s="5"/>
      <c r="K376" s="8"/>
      <c r="L376" s="8"/>
      <c r="M376" s="5"/>
      <c r="N376" s="5" t="s">
        <v>402</v>
      </c>
      <c r="O376" s="5" t="s">
        <v>6444</v>
      </c>
      <c r="P376" s="5" t="s">
        <v>5728</v>
      </c>
    </row>
    <row r="377" spans="1:16" ht="50.1" customHeight="1" x14ac:dyDescent="0.2">
      <c r="A377" s="5" t="s">
        <v>6445</v>
      </c>
      <c r="B377" s="5" t="s">
        <v>1308</v>
      </c>
      <c r="C377" s="5" t="s">
        <v>2972</v>
      </c>
      <c r="D377" s="5" t="s">
        <v>2897</v>
      </c>
      <c r="E377" s="8">
        <v>13</v>
      </c>
      <c r="F377" s="5" t="s">
        <v>6446</v>
      </c>
      <c r="G377" s="5" t="s">
        <v>5784</v>
      </c>
      <c r="H377" s="5" t="s">
        <v>5976</v>
      </c>
      <c r="I377" s="5" t="s">
        <v>5785</v>
      </c>
      <c r="J377" s="5" t="s">
        <v>1177</v>
      </c>
      <c r="K377" s="8">
        <v>0</v>
      </c>
      <c r="L377" s="8"/>
      <c r="M377" s="5"/>
      <c r="N377" s="5" t="s">
        <v>571</v>
      </c>
      <c r="O377" s="5" t="s">
        <v>6447</v>
      </c>
      <c r="P377" s="5" t="s">
        <v>5737</v>
      </c>
    </row>
    <row r="378" spans="1:16" ht="57" customHeight="1" x14ac:dyDescent="0.2">
      <c r="A378" s="5" t="s">
        <v>6448</v>
      </c>
      <c r="B378" s="5" t="s">
        <v>2975</v>
      </c>
      <c r="C378" s="5" t="s">
        <v>2978</v>
      </c>
      <c r="D378" s="5" t="s">
        <v>2897</v>
      </c>
      <c r="E378" s="8">
        <v>14</v>
      </c>
      <c r="F378" s="5" t="s">
        <v>6449</v>
      </c>
      <c r="G378" s="5" t="s">
        <v>5730</v>
      </c>
      <c r="H378" s="5" t="s">
        <v>5976</v>
      </c>
      <c r="I378" s="5"/>
      <c r="J378" s="5"/>
      <c r="K378" s="8"/>
      <c r="L378" s="8"/>
      <c r="M378" s="5"/>
      <c r="N378" s="5" t="s">
        <v>364</v>
      </c>
      <c r="O378" s="5" t="s">
        <v>6450</v>
      </c>
      <c r="P378" s="5" t="s">
        <v>5728</v>
      </c>
    </row>
    <row r="379" spans="1:16" ht="50.1" customHeight="1" x14ac:dyDescent="0.2">
      <c r="A379" s="5" t="s">
        <v>47</v>
      </c>
      <c r="B379" s="5" t="s">
        <v>356</v>
      </c>
      <c r="C379" s="5" t="s">
        <v>2991</v>
      </c>
      <c r="D379" s="5" t="s">
        <v>2986</v>
      </c>
      <c r="E379" s="8">
        <v>1</v>
      </c>
      <c r="F379" s="5" t="s">
        <v>115</v>
      </c>
      <c r="G379" s="5" t="s">
        <v>2002</v>
      </c>
      <c r="H379" s="5" t="s">
        <v>362</v>
      </c>
      <c r="I379" s="5"/>
      <c r="J379" s="5"/>
      <c r="K379" s="8"/>
      <c r="L379" s="8"/>
      <c r="M379" s="5"/>
      <c r="N379" s="5" t="s">
        <v>364</v>
      </c>
      <c r="O379" s="5" t="s">
        <v>6451</v>
      </c>
      <c r="P379" s="5" t="s">
        <v>5728</v>
      </c>
    </row>
    <row r="380" spans="1:16" ht="50.1" customHeight="1" x14ac:dyDescent="0.2">
      <c r="A380" s="5" t="s">
        <v>5729</v>
      </c>
      <c r="B380" s="5" t="s">
        <v>368</v>
      </c>
      <c r="C380" s="5" t="s">
        <v>2996</v>
      </c>
      <c r="D380" s="5" t="s">
        <v>2986</v>
      </c>
      <c r="E380" s="8">
        <v>2</v>
      </c>
      <c r="F380" s="5" t="s">
        <v>116</v>
      </c>
      <c r="G380" s="5" t="s">
        <v>5730</v>
      </c>
      <c r="H380" s="5" t="s">
        <v>362</v>
      </c>
      <c r="I380" s="5"/>
      <c r="J380" s="5"/>
      <c r="K380" s="8"/>
      <c r="L380" s="8"/>
      <c r="M380" s="5"/>
      <c r="N380" s="5" t="s">
        <v>364</v>
      </c>
      <c r="O380" s="5" t="s">
        <v>6452</v>
      </c>
      <c r="P380" s="5" t="s">
        <v>5728</v>
      </c>
    </row>
    <row r="381" spans="1:16" ht="50.1" customHeight="1" x14ac:dyDescent="0.2">
      <c r="A381" s="5" t="s">
        <v>42</v>
      </c>
      <c r="B381" s="5" t="s">
        <v>376</v>
      </c>
      <c r="C381" s="5" t="s">
        <v>3001</v>
      </c>
      <c r="D381" s="5" t="s">
        <v>2986</v>
      </c>
      <c r="E381" s="8">
        <v>3</v>
      </c>
      <c r="F381" s="5" t="s">
        <v>117</v>
      </c>
      <c r="G381" s="5" t="s">
        <v>2002</v>
      </c>
      <c r="H381" s="5" t="s">
        <v>362</v>
      </c>
      <c r="I381" s="5"/>
      <c r="J381" s="5"/>
      <c r="K381" s="8"/>
      <c r="L381" s="8"/>
      <c r="M381" s="5"/>
      <c r="N381" s="5" t="s">
        <v>382</v>
      </c>
      <c r="O381" s="5" t="s">
        <v>6453</v>
      </c>
      <c r="P381" s="5" t="s">
        <v>5733</v>
      </c>
    </row>
    <row r="382" spans="1:16" ht="50.1" customHeight="1" x14ac:dyDescent="0.2">
      <c r="A382" s="5" t="s">
        <v>5790</v>
      </c>
      <c r="B382" s="5" t="s">
        <v>595</v>
      </c>
      <c r="C382" s="5" t="s">
        <v>3006</v>
      </c>
      <c r="D382" s="5" t="s">
        <v>2986</v>
      </c>
      <c r="E382" s="8">
        <v>4</v>
      </c>
      <c r="F382" s="5" t="s">
        <v>236</v>
      </c>
      <c r="G382" s="5" t="s">
        <v>5735</v>
      </c>
      <c r="H382" s="5" t="s">
        <v>362</v>
      </c>
      <c r="I382" s="5"/>
      <c r="J382" s="5" t="s">
        <v>348</v>
      </c>
      <c r="K382" s="8">
        <v>1</v>
      </c>
      <c r="L382" s="8">
        <v>1</v>
      </c>
      <c r="M382" s="5"/>
      <c r="N382" s="5" t="s">
        <v>392</v>
      </c>
      <c r="O382" s="5" t="s">
        <v>6454</v>
      </c>
      <c r="P382" s="5" t="s">
        <v>5737</v>
      </c>
    </row>
    <row r="383" spans="1:16" ht="50.1" customHeight="1" x14ac:dyDescent="0.2">
      <c r="A383" s="5" t="s">
        <v>6215</v>
      </c>
      <c r="B383" s="5" t="s">
        <v>420</v>
      </c>
      <c r="C383" s="5" t="s">
        <v>3011</v>
      </c>
      <c r="D383" s="5" t="s">
        <v>2986</v>
      </c>
      <c r="E383" s="8">
        <v>5</v>
      </c>
      <c r="F383" s="5" t="s">
        <v>6216</v>
      </c>
      <c r="G383" s="5" t="s">
        <v>5735</v>
      </c>
      <c r="H383" s="5" t="s">
        <v>362</v>
      </c>
      <c r="I383" s="5"/>
      <c r="J383" s="5" t="s">
        <v>1177</v>
      </c>
      <c r="K383" s="8">
        <v>1</v>
      </c>
      <c r="L383" s="8">
        <v>1</v>
      </c>
      <c r="M383" s="5"/>
      <c r="N383" s="5" t="s">
        <v>392</v>
      </c>
      <c r="O383" s="5" t="s">
        <v>6455</v>
      </c>
      <c r="P383" s="5" t="s">
        <v>5737</v>
      </c>
    </row>
    <row r="384" spans="1:16" ht="57" customHeight="1" x14ac:dyDescent="0.2">
      <c r="A384" s="5" t="s">
        <v>6456</v>
      </c>
      <c r="B384" s="5" t="s">
        <v>3014</v>
      </c>
      <c r="C384" s="5" t="s">
        <v>3017</v>
      </c>
      <c r="D384" s="5" t="s">
        <v>2986</v>
      </c>
      <c r="E384" s="8">
        <v>6</v>
      </c>
      <c r="F384" s="5" t="s">
        <v>6457</v>
      </c>
      <c r="G384" s="5" t="s">
        <v>5739</v>
      </c>
      <c r="H384" s="5" t="s">
        <v>362</v>
      </c>
      <c r="I384" s="5" t="s">
        <v>6458</v>
      </c>
      <c r="J384" s="5"/>
      <c r="K384" s="8"/>
      <c r="L384" s="8"/>
      <c r="M384" s="5"/>
      <c r="N384" s="5" t="s">
        <v>402</v>
      </c>
      <c r="O384" s="5" t="s">
        <v>6459</v>
      </c>
      <c r="P384" s="5" t="s">
        <v>5728</v>
      </c>
    </row>
    <row r="385" spans="1:16" ht="57" customHeight="1" x14ac:dyDescent="0.2">
      <c r="A385" s="5" t="s">
        <v>6460</v>
      </c>
      <c r="B385" s="5" t="s">
        <v>3022</v>
      </c>
      <c r="C385" s="5" t="s">
        <v>3025</v>
      </c>
      <c r="D385" s="5" t="s">
        <v>2986</v>
      </c>
      <c r="E385" s="8">
        <v>7</v>
      </c>
      <c r="F385" s="5" t="s">
        <v>6461</v>
      </c>
      <c r="G385" s="5" t="s">
        <v>5730</v>
      </c>
      <c r="H385" s="5" t="s">
        <v>362</v>
      </c>
      <c r="I385" s="5"/>
      <c r="J385" s="5"/>
      <c r="K385" s="8"/>
      <c r="L385" s="8"/>
      <c r="M385" s="5"/>
      <c r="N385" s="5" t="s">
        <v>364</v>
      </c>
      <c r="O385" s="5" t="s">
        <v>6462</v>
      </c>
      <c r="P385" s="5" t="s">
        <v>5728</v>
      </c>
    </row>
    <row r="386" spans="1:16" ht="57" customHeight="1" x14ac:dyDescent="0.2">
      <c r="A386" s="5" t="s">
        <v>6463</v>
      </c>
      <c r="B386" s="5" t="s">
        <v>3030</v>
      </c>
      <c r="C386" s="5" t="s">
        <v>3033</v>
      </c>
      <c r="D386" s="5" t="s">
        <v>2986</v>
      </c>
      <c r="E386" s="8">
        <v>8</v>
      </c>
      <c r="F386" s="5" t="s">
        <v>6464</v>
      </c>
      <c r="G386" s="5" t="s">
        <v>2002</v>
      </c>
      <c r="H386" s="5" t="s">
        <v>390</v>
      </c>
      <c r="I386" s="5"/>
      <c r="J386" s="5"/>
      <c r="K386" s="8"/>
      <c r="L386" s="8"/>
      <c r="M386" s="5"/>
      <c r="N386" s="5" t="s">
        <v>364</v>
      </c>
      <c r="O386" s="5" t="s">
        <v>6465</v>
      </c>
      <c r="P386" s="5" t="s">
        <v>5728</v>
      </c>
    </row>
    <row r="387" spans="1:16" ht="57" customHeight="1" x14ac:dyDescent="0.2">
      <c r="A387" s="5" t="s">
        <v>6466</v>
      </c>
      <c r="B387" s="5" t="s">
        <v>3038</v>
      </c>
      <c r="C387" s="5" t="s">
        <v>3041</v>
      </c>
      <c r="D387" s="5" t="s">
        <v>2986</v>
      </c>
      <c r="E387" s="8">
        <v>9</v>
      </c>
      <c r="F387" s="5" t="s">
        <v>6467</v>
      </c>
      <c r="G387" s="5" t="s">
        <v>2002</v>
      </c>
      <c r="H387" s="5" t="s">
        <v>5976</v>
      </c>
      <c r="I387" s="5"/>
      <c r="J387" s="5"/>
      <c r="K387" s="8"/>
      <c r="L387" s="8"/>
      <c r="M387" s="5"/>
      <c r="N387" s="5" t="s">
        <v>364</v>
      </c>
      <c r="O387" s="5" t="s">
        <v>6468</v>
      </c>
      <c r="P387" s="5" t="s">
        <v>5728</v>
      </c>
    </row>
    <row r="388" spans="1:16" ht="50.1" customHeight="1" x14ac:dyDescent="0.2">
      <c r="A388" s="5" t="s">
        <v>6469</v>
      </c>
      <c r="B388" s="5" t="s">
        <v>3046</v>
      </c>
      <c r="C388" s="5" t="s">
        <v>3049</v>
      </c>
      <c r="D388" s="5" t="s">
        <v>2986</v>
      </c>
      <c r="E388" s="8">
        <v>10</v>
      </c>
      <c r="F388" s="5" t="s">
        <v>6470</v>
      </c>
      <c r="G388" s="5" t="s">
        <v>5735</v>
      </c>
      <c r="H388" s="5" t="s">
        <v>390</v>
      </c>
      <c r="I388" s="5"/>
      <c r="J388" s="5" t="s">
        <v>2986</v>
      </c>
      <c r="K388" s="8">
        <v>0</v>
      </c>
      <c r="L388" s="8">
        <v>1</v>
      </c>
      <c r="M388" s="5"/>
      <c r="N388" s="5" t="s">
        <v>392</v>
      </c>
      <c r="O388" s="5" t="s">
        <v>6471</v>
      </c>
      <c r="P388" s="5" t="s">
        <v>5737</v>
      </c>
    </row>
  </sheetData>
  <dataValidations count="3">
    <dataValidation type="list" sqref="D7:D1200 J7:J1200" xr:uid="{00000000-0002-0000-1500-000000000000}">
      <formula1>og_list_11</formula1>
    </dataValidation>
    <dataValidation type="whole" sqref="E7:E1200 K7:L1200" xr:uid="{00000000-0002-0000-1500-000001000000}">
      <formula1>0</formula1>
      <formula2>1000000</formula2>
    </dataValidation>
    <dataValidation type="list" sqref="G7:G1200" xr:uid="{00000000-0002-0000-1500-000002000000}">
      <formula1>"SHORT TEXT,LONG TEXT,INTEGER,URL,SINGLE SELECT,LINKED RECORD,LINKED RECORDS,DERIVED"</formula1>
    </dataValidation>
  </dataValidations>
  <pageMargins left="0.7" right="0.7" top="0.75" bottom="0.75" header="0.3" footer="0.3"/>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67E8F9"/>
  </sheetPr>
  <dimension ref="A1:I38"/>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7" width="48.0234375" customWidth="1"/>
    <col min="8" max="8" width="29.0546875" customWidth="1"/>
    <col min="9" max="9" width="48.0234375" customWidth="1"/>
  </cols>
  <sheetData>
    <row r="1" spans="1:9" ht="21.75" x14ac:dyDescent="0.25">
      <c r="A1" s="3" t="s">
        <v>6472</v>
      </c>
      <c r="B1" s="2"/>
      <c r="C1" s="2"/>
      <c r="D1" s="2"/>
      <c r="E1" s="2"/>
      <c r="F1" s="2"/>
      <c r="G1" s="2"/>
      <c r="H1" s="2"/>
      <c r="I1" s="2"/>
    </row>
    <row r="2" spans="1:9" x14ac:dyDescent="0.2">
      <c r="A2" s="2" t="str">
        <f>HYPERLINK("#'Home'!A1","Home")</f>
        <v>Home</v>
      </c>
      <c r="B2" s="2" t="str">
        <f>HYPERLINK("#'Reader'!A1","Read a record")</f>
        <v>Read a record</v>
      </c>
      <c r="C2" s="2"/>
      <c r="D2" s="2"/>
      <c r="E2" s="2"/>
      <c r="F2" s="2"/>
      <c r="G2" s="2"/>
      <c r="H2" s="2"/>
      <c r="I2" s="2"/>
    </row>
    <row r="3" spans="1:9" ht="45.95" customHeight="1" x14ac:dyDescent="0.2">
      <c r="A3" s="2" t="s">
        <v>2064</v>
      </c>
      <c r="B3" s="2"/>
      <c r="C3" s="2"/>
      <c r="D3" s="2"/>
      <c r="E3" s="2"/>
      <c r="F3" s="2"/>
      <c r="G3" s="2"/>
      <c r="H3" s="2"/>
      <c r="I3" s="2"/>
    </row>
    <row r="4" spans="1:9" ht="16.5" x14ac:dyDescent="0.2">
      <c r="A4" s="4" t="str">
        <f>HYPERLINK("#'Field Dictionary'!A245","📚🔗 - 1 - SHORT TEXT")</f>
        <v>📚🔗 - 1 - SHORT TEXT</v>
      </c>
      <c r="B4" s="4" t="str">
        <f>HYPERLINK("#'Field Dictionary'!A246","📚🔗 - 2 - LONG TEXT")</f>
        <v>📚🔗 - 2 - LONG TEXT</v>
      </c>
      <c r="C4" s="4" t="str">
        <f>HYPERLINK("#'Field Dictionary'!A247","📚🔗 - 3 - SHORT TEXT")</f>
        <v>📚🔗 - 3 - SHORT TEXT</v>
      </c>
      <c r="D4" s="4" t="str">
        <f>HYPERLINK("#'Field Dictionary'!A248","📚🔗 - 4 - LINKED RECORD")</f>
        <v>📚🔗 - 4 - LINKED RECORD</v>
      </c>
      <c r="E4" s="4" t="str">
        <f>HYPERLINK("#'Field Dictionary'!A249","📚🔗 - 5 - LINKED RECORD")</f>
        <v>📚🔗 - 5 - LINKED RECORD</v>
      </c>
      <c r="F4" s="4" t="str">
        <f>HYPERLINK("#'Field Dictionary'!A250","📚🔗 - 6 - SHORT TEXT")</f>
        <v>📚🔗 - 6 - SHORT TEXT</v>
      </c>
      <c r="G4" s="4" t="str">
        <f>HYPERLINK("#'Field Dictionary'!A251","📚🔗 - 7 - LONG TEXT")</f>
        <v>📚🔗 - 7 - LONG TEXT</v>
      </c>
      <c r="H4" s="4" t="str">
        <f>HYPERLINK("#'Field Dictionary'!A252","📚🔗 - 8 - SINGLE SELECT")</f>
        <v>📚🔗 - 8 - SINGLE SELECT</v>
      </c>
      <c r="I4" s="4" t="str">
        <f>HYPERLINK("#'Field Dictionary'!A253","📚🔗 - 9 - LONG TEXT")</f>
        <v>📚🔗 - 9 - LONG TEXT</v>
      </c>
    </row>
    <row r="5" spans="1:9" ht="38.1" customHeight="1" x14ac:dyDescent="0.2">
      <c r="A5" s="7" t="s">
        <v>100</v>
      </c>
      <c r="B5" s="7" t="s">
        <v>101</v>
      </c>
      <c r="C5" s="7" t="s">
        <v>102</v>
      </c>
      <c r="D5" s="7" t="s">
        <v>6473</v>
      </c>
      <c r="E5" s="7" t="s">
        <v>6474</v>
      </c>
      <c r="F5" s="7" t="s">
        <v>6475</v>
      </c>
      <c r="G5" s="7" t="s">
        <v>6476</v>
      </c>
      <c r="H5" s="7" t="s">
        <v>6477</v>
      </c>
      <c r="I5" s="7" t="s">
        <v>6478</v>
      </c>
    </row>
    <row r="6" spans="1:9" ht="38.1" customHeight="1" x14ac:dyDescent="0.2">
      <c r="A6" s="7" t="s">
        <v>115</v>
      </c>
      <c r="B6" s="7" t="s">
        <v>116</v>
      </c>
      <c r="C6" s="7" t="s">
        <v>117</v>
      </c>
      <c r="D6" s="7" t="s">
        <v>6162</v>
      </c>
      <c r="E6" s="7" t="s">
        <v>6164</v>
      </c>
      <c r="F6" s="7" t="s">
        <v>6167</v>
      </c>
      <c r="G6" s="7" t="s">
        <v>6170</v>
      </c>
      <c r="H6" s="7" t="s">
        <v>6173</v>
      </c>
      <c r="I6" s="7" t="s">
        <v>6177</v>
      </c>
    </row>
    <row r="7" spans="1:9" ht="102" customHeight="1" x14ac:dyDescent="0.2">
      <c r="A7" s="5" t="s">
        <v>6479</v>
      </c>
      <c r="B7" s="5" t="s">
        <v>2064</v>
      </c>
      <c r="C7" s="5" t="s">
        <v>6479</v>
      </c>
      <c r="D7" s="5" t="s">
        <v>3569</v>
      </c>
      <c r="E7" s="5" t="s">
        <v>3574</v>
      </c>
      <c r="F7" s="5" t="s">
        <v>6480</v>
      </c>
      <c r="G7" s="5" t="s">
        <v>4440</v>
      </c>
      <c r="H7" s="5" t="s">
        <v>2120</v>
      </c>
      <c r="I7" s="5" t="s">
        <v>6481</v>
      </c>
    </row>
    <row r="8" spans="1:9" ht="117" customHeight="1" x14ac:dyDescent="0.2">
      <c r="A8" s="5" t="s">
        <v>6482</v>
      </c>
      <c r="B8" s="5" t="s">
        <v>2064</v>
      </c>
      <c r="C8" s="5" t="s">
        <v>6482</v>
      </c>
      <c r="D8" s="5" t="s">
        <v>3569</v>
      </c>
      <c r="E8" s="5" t="s">
        <v>3610</v>
      </c>
      <c r="F8" s="5" t="s">
        <v>6483</v>
      </c>
      <c r="G8" s="5" t="s">
        <v>4443</v>
      </c>
      <c r="H8" s="5" t="s">
        <v>2120</v>
      </c>
      <c r="I8" s="5" t="s">
        <v>6481</v>
      </c>
    </row>
    <row r="9" spans="1:9" ht="102" customHeight="1" x14ac:dyDescent="0.2">
      <c r="A9" s="5" t="s">
        <v>6484</v>
      </c>
      <c r="B9" s="5" t="s">
        <v>2064</v>
      </c>
      <c r="C9" s="5" t="s">
        <v>6484</v>
      </c>
      <c r="D9" s="5" t="s">
        <v>3569</v>
      </c>
      <c r="E9" s="5" t="s">
        <v>3642</v>
      </c>
      <c r="F9" s="5" t="s">
        <v>6485</v>
      </c>
      <c r="G9" s="5" t="s">
        <v>4444</v>
      </c>
      <c r="H9" s="5" t="s">
        <v>2120</v>
      </c>
      <c r="I9" s="5" t="s">
        <v>6481</v>
      </c>
    </row>
    <row r="10" spans="1:9" ht="87" customHeight="1" x14ac:dyDescent="0.2">
      <c r="A10" s="5" t="s">
        <v>6486</v>
      </c>
      <c r="B10" s="5" t="s">
        <v>2064</v>
      </c>
      <c r="C10" s="5" t="s">
        <v>6486</v>
      </c>
      <c r="D10" s="5" t="s">
        <v>3569</v>
      </c>
      <c r="E10" s="5" t="s">
        <v>3674</v>
      </c>
      <c r="F10" s="5" t="s">
        <v>6487</v>
      </c>
      <c r="G10" s="5" t="s">
        <v>4445</v>
      </c>
      <c r="H10" s="5" t="s">
        <v>2120</v>
      </c>
      <c r="I10" s="5" t="s">
        <v>6481</v>
      </c>
    </row>
    <row r="11" spans="1:9" ht="102" customHeight="1" x14ac:dyDescent="0.2">
      <c r="A11" s="5" t="s">
        <v>6488</v>
      </c>
      <c r="B11" s="5" t="s">
        <v>2064</v>
      </c>
      <c r="C11" s="5" t="s">
        <v>6488</v>
      </c>
      <c r="D11" s="5" t="s">
        <v>3569</v>
      </c>
      <c r="E11" s="5" t="s">
        <v>3706</v>
      </c>
      <c r="F11" s="5" t="s">
        <v>6489</v>
      </c>
      <c r="G11" s="5" t="s">
        <v>4446</v>
      </c>
      <c r="H11" s="5" t="s">
        <v>2120</v>
      </c>
      <c r="I11" s="5" t="s">
        <v>6481</v>
      </c>
    </row>
    <row r="12" spans="1:9" ht="102" customHeight="1" x14ac:dyDescent="0.2">
      <c r="A12" s="5" t="s">
        <v>6490</v>
      </c>
      <c r="B12" s="5" t="s">
        <v>2064</v>
      </c>
      <c r="C12" s="5" t="s">
        <v>6490</v>
      </c>
      <c r="D12" s="5" t="s">
        <v>3569</v>
      </c>
      <c r="E12" s="5" t="s">
        <v>3738</v>
      </c>
      <c r="F12" s="5" t="s">
        <v>6491</v>
      </c>
      <c r="G12" s="5" t="s">
        <v>4447</v>
      </c>
      <c r="H12" s="5" t="s">
        <v>2120</v>
      </c>
      <c r="I12" s="5" t="s">
        <v>6481</v>
      </c>
    </row>
    <row r="13" spans="1:9" ht="102" customHeight="1" x14ac:dyDescent="0.2">
      <c r="A13" s="5" t="s">
        <v>6492</v>
      </c>
      <c r="B13" s="5" t="s">
        <v>2064</v>
      </c>
      <c r="C13" s="5" t="s">
        <v>6492</v>
      </c>
      <c r="D13" s="5" t="s">
        <v>3569</v>
      </c>
      <c r="E13" s="5" t="s">
        <v>3770</v>
      </c>
      <c r="F13" s="5" t="s">
        <v>6493</v>
      </c>
      <c r="G13" s="5" t="s">
        <v>4448</v>
      </c>
      <c r="H13" s="5" t="s">
        <v>2120</v>
      </c>
      <c r="I13" s="5" t="s">
        <v>6481</v>
      </c>
    </row>
    <row r="14" spans="1:9" ht="117" customHeight="1" x14ac:dyDescent="0.2">
      <c r="A14" s="5" t="s">
        <v>6494</v>
      </c>
      <c r="B14" s="5" t="s">
        <v>2064</v>
      </c>
      <c r="C14" s="5" t="s">
        <v>6494</v>
      </c>
      <c r="D14" s="5" t="s">
        <v>3569</v>
      </c>
      <c r="E14" s="5" t="s">
        <v>3802</v>
      </c>
      <c r="F14" s="5" t="s">
        <v>6495</v>
      </c>
      <c r="G14" s="5" t="s">
        <v>4449</v>
      </c>
      <c r="H14" s="5" t="s">
        <v>2120</v>
      </c>
      <c r="I14" s="5" t="s">
        <v>6481</v>
      </c>
    </row>
    <row r="15" spans="1:9" ht="57" customHeight="1" x14ac:dyDescent="0.2">
      <c r="A15" s="5" t="s">
        <v>6496</v>
      </c>
      <c r="B15" s="5" t="s">
        <v>264</v>
      </c>
      <c r="C15" s="5" t="s">
        <v>6496</v>
      </c>
      <c r="D15" s="5" t="s">
        <v>3903</v>
      </c>
      <c r="E15" s="5" t="s">
        <v>3913</v>
      </c>
      <c r="F15" s="5" t="s">
        <v>6497</v>
      </c>
      <c r="G15" s="5" t="s">
        <v>4450</v>
      </c>
      <c r="H15" s="5" t="s">
        <v>2120</v>
      </c>
      <c r="I15" s="5" t="s">
        <v>6498</v>
      </c>
    </row>
    <row r="16" spans="1:9" ht="72" customHeight="1" x14ac:dyDescent="0.2">
      <c r="A16" s="5" t="s">
        <v>6499</v>
      </c>
      <c r="B16" s="5" t="s">
        <v>264</v>
      </c>
      <c r="C16" s="5" t="s">
        <v>6499</v>
      </c>
      <c r="D16" s="5" t="s">
        <v>3903</v>
      </c>
      <c r="E16" s="5" t="s">
        <v>3920</v>
      </c>
      <c r="F16" s="5" t="s">
        <v>6500</v>
      </c>
      <c r="G16" s="5" t="s">
        <v>4453</v>
      </c>
      <c r="H16" s="5" t="s">
        <v>2120</v>
      </c>
      <c r="I16" s="5" t="s">
        <v>6498</v>
      </c>
    </row>
    <row r="17" spans="1:9" ht="72" customHeight="1" x14ac:dyDescent="0.2">
      <c r="A17" s="5" t="s">
        <v>6501</v>
      </c>
      <c r="B17" s="5" t="s">
        <v>264</v>
      </c>
      <c r="C17" s="5" t="s">
        <v>6501</v>
      </c>
      <c r="D17" s="5" t="s">
        <v>3903</v>
      </c>
      <c r="E17" s="5" t="s">
        <v>3927</v>
      </c>
      <c r="F17" s="5" t="s">
        <v>6502</v>
      </c>
      <c r="G17" s="5" t="s">
        <v>4454</v>
      </c>
      <c r="H17" s="5" t="s">
        <v>2120</v>
      </c>
      <c r="I17" s="5" t="s">
        <v>6498</v>
      </c>
    </row>
    <row r="18" spans="1:9" ht="57" customHeight="1" x14ac:dyDescent="0.2">
      <c r="A18" s="5" t="s">
        <v>6503</v>
      </c>
      <c r="B18" s="5" t="s">
        <v>264</v>
      </c>
      <c r="C18" s="5" t="s">
        <v>6503</v>
      </c>
      <c r="D18" s="5" t="s">
        <v>3903</v>
      </c>
      <c r="E18" s="5" t="s">
        <v>3934</v>
      </c>
      <c r="F18" s="5" t="s">
        <v>6504</v>
      </c>
      <c r="G18" s="5" t="s">
        <v>4455</v>
      </c>
      <c r="H18" s="5" t="s">
        <v>2120</v>
      </c>
      <c r="I18" s="5" t="s">
        <v>6498</v>
      </c>
    </row>
    <row r="19" spans="1:9" ht="72" customHeight="1" x14ac:dyDescent="0.2">
      <c r="A19" s="5" t="s">
        <v>6505</v>
      </c>
      <c r="B19" s="5" t="s">
        <v>264</v>
      </c>
      <c r="C19" s="5" t="s">
        <v>6505</v>
      </c>
      <c r="D19" s="5" t="s">
        <v>3903</v>
      </c>
      <c r="E19" s="5" t="s">
        <v>3941</v>
      </c>
      <c r="F19" s="5" t="s">
        <v>6506</v>
      </c>
      <c r="G19" s="5" t="s">
        <v>4456</v>
      </c>
      <c r="H19" s="5" t="s">
        <v>2120</v>
      </c>
      <c r="I19" s="5" t="s">
        <v>6498</v>
      </c>
    </row>
    <row r="20" spans="1:9" ht="57" customHeight="1" x14ac:dyDescent="0.2">
      <c r="A20" s="5" t="s">
        <v>6507</v>
      </c>
      <c r="B20" s="5" t="s">
        <v>264</v>
      </c>
      <c r="C20" s="5" t="s">
        <v>6507</v>
      </c>
      <c r="D20" s="5" t="s">
        <v>3903</v>
      </c>
      <c r="E20" s="5" t="s">
        <v>3948</v>
      </c>
      <c r="F20" s="5" t="s">
        <v>6508</v>
      </c>
      <c r="G20" s="5" t="s">
        <v>4457</v>
      </c>
      <c r="H20" s="5" t="s">
        <v>2120</v>
      </c>
      <c r="I20" s="5" t="s">
        <v>6498</v>
      </c>
    </row>
    <row r="21" spans="1:9" ht="72" customHeight="1" x14ac:dyDescent="0.2">
      <c r="A21" s="5" t="s">
        <v>6509</v>
      </c>
      <c r="B21" s="5" t="s">
        <v>264</v>
      </c>
      <c r="C21" s="5" t="s">
        <v>6509</v>
      </c>
      <c r="D21" s="5" t="s">
        <v>3903</v>
      </c>
      <c r="E21" s="5" t="s">
        <v>3955</v>
      </c>
      <c r="F21" s="5" t="s">
        <v>6510</v>
      </c>
      <c r="G21" s="5" t="s">
        <v>4458</v>
      </c>
      <c r="H21" s="5" t="s">
        <v>2120</v>
      </c>
      <c r="I21" s="5" t="s">
        <v>6498</v>
      </c>
    </row>
    <row r="22" spans="1:9" ht="57" customHeight="1" x14ac:dyDescent="0.2">
      <c r="A22" s="5" t="s">
        <v>6511</v>
      </c>
      <c r="B22" s="5" t="s">
        <v>264</v>
      </c>
      <c r="C22" s="5" t="s">
        <v>6511</v>
      </c>
      <c r="D22" s="5" t="s">
        <v>3903</v>
      </c>
      <c r="E22" s="5" t="s">
        <v>3962</v>
      </c>
      <c r="F22" s="5" t="s">
        <v>6512</v>
      </c>
      <c r="G22" s="5" t="s">
        <v>4459</v>
      </c>
      <c r="H22" s="5" t="s">
        <v>2120</v>
      </c>
      <c r="I22" s="5" t="s">
        <v>6498</v>
      </c>
    </row>
    <row r="23" spans="1:9" ht="72" customHeight="1" x14ac:dyDescent="0.2">
      <c r="A23" s="5" t="s">
        <v>6513</v>
      </c>
      <c r="B23" s="5" t="s">
        <v>264</v>
      </c>
      <c r="C23" s="5" t="s">
        <v>6513</v>
      </c>
      <c r="D23" s="5" t="s">
        <v>3903</v>
      </c>
      <c r="E23" s="5" t="s">
        <v>3969</v>
      </c>
      <c r="F23" s="5" t="s">
        <v>6514</v>
      </c>
      <c r="G23" s="5" t="s">
        <v>4460</v>
      </c>
      <c r="H23" s="5" t="s">
        <v>2120</v>
      </c>
      <c r="I23" s="5" t="s">
        <v>6498</v>
      </c>
    </row>
    <row r="24" spans="1:9" ht="72" customHeight="1" x14ac:dyDescent="0.2">
      <c r="A24" s="5" t="s">
        <v>6515</v>
      </c>
      <c r="B24" s="5" t="s">
        <v>264</v>
      </c>
      <c r="C24" s="5" t="s">
        <v>6515</v>
      </c>
      <c r="D24" s="5" t="s">
        <v>3903</v>
      </c>
      <c r="E24" s="5" t="s">
        <v>3976</v>
      </c>
      <c r="F24" s="5" t="s">
        <v>6516</v>
      </c>
      <c r="G24" s="5" t="s">
        <v>4461</v>
      </c>
      <c r="H24" s="5" t="s">
        <v>2120</v>
      </c>
      <c r="I24" s="5" t="s">
        <v>6498</v>
      </c>
    </row>
    <row r="25" spans="1:9" ht="72" customHeight="1" x14ac:dyDescent="0.2">
      <c r="A25" s="5" t="s">
        <v>6517</v>
      </c>
      <c r="B25" s="5" t="s">
        <v>264</v>
      </c>
      <c r="C25" s="5" t="s">
        <v>6517</v>
      </c>
      <c r="D25" s="5" t="s">
        <v>3903</v>
      </c>
      <c r="E25" s="5" t="s">
        <v>3983</v>
      </c>
      <c r="F25" s="5" t="s">
        <v>6518</v>
      </c>
      <c r="G25" s="5" t="s">
        <v>4462</v>
      </c>
      <c r="H25" s="5" t="s">
        <v>2120</v>
      </c>
      <c r="I25" s="5" t="s">
        <v>6498</v>
      </c>
    </row>
    <row r="26" spans="1:9" ht="102" customHeight="1" x14ac:dyDescent="0.2">
      <c r="A26" s="5" t="s">
        <v>6519</v>
      </c>
      <c r="B26" s="5" t="s">
        <v>264</v>
      </c>
      <c r="C26" s="5" t="s">
        <v>6519</v>
      </c>
      <c r="D26" s="5" t="s">
        <v>3903</v>
      </c>
      <c r="E26" s="5" t="s">
        <v>3990</v>
      </c>
      <c r="F26" s="5" t="s">
        <v>6520</v>
      </c>
      <c r="G26" s="5" t="s">
        <v>4463</v>
      </c>
      <c r="H26" s="5" t="s">
        <v>2120</v>
      </c>
      <c r="I26" s="5" t="s">
        <v>6498</v>
      </c>
    </row>
    <row r="27" spans="1:9" ht="87" customHeight="1" x14ac:dyDescent="0.2">
      <c r="A27" s="5" t="s">
        <v>6521</v>
      </c>
      <c r="B27" s="5" t="s">
        <v>6522</v>
      </c>
      <c r="C27" s="5" t="s">
        <v>6523</v>
      </c>
      <c r="D27" s="5" t="s">
        <v>3897</v>
      </c>
      <c r="E27" s="5" t="s">
        <v>4272</v>
      </c>
      <c r="F27" s="5" t="s">
        <v>6524</v>
      </c>
      <c r="G27" s="5" t="s">
        <v>6525</v>
      </c>
      <c r="H27" s="5" t="s">
        <v>4467</v>
      </c>
      <c r="I27" s="5" t="s">
        <v>6526</v>
      </c>
    </row>
    <row r="28" spans="1:9" ht="87" customHeight="1" x14ac:dyDescent="0.2">
      <c r="A28" s="5" t="s">
        <v>6527</v>
      </c>
      <c r="B28" s="5" t="s">
        <v>6522</v>
      </c>
      <c r="C28" s="5" t="s">
        <v>6528</v>
      </c>
      <c r="D28" s="5" t="s">
        <v>3897</v>
      </c>
      <c r="E28" s="5" t="s">
        <v>4281</v>
      </c>
      <c r="F28" s="5" t="s">
        <v>6524</v>
      </c>
      <c r="G28" s="5" t="s">
        <v>6525</v>
      </c>
      <c r="H28" s="5" t="s">
        <v>4467</v>
      </c>
      <c r="I28" s="5" t="s">
        <v>6526</v>
      </c>
    </row>
    <row r="29" spans="1:9" ht="87" customHeight="1" x14ac:dyDescent="0.2">
      <c r="A29" s="5" t="s">
        <v>6529</v>
      </c>
      <c r="B29" s="5" t="s">
        <v>6522</v>
      </c>
      <c r="C29" s="5" t="s">
        <v>6530</v>
      </c>
      <c r="D29" s="5" t="s">
        <v>3897</v>
      </c>
      <c r="E29" s="5" t="s">
        <v>4289</v>
      </c>
      <c r="F29" s="5" t="s">
        <v>6524</v>
      </c>
      <c r="G29" s="5" t="s">
        <v>6525</v>
      </c>
      <c r="H29" s="5" t="s">
        <v>4467</v>
      </c>
      <c r="I29" s="5" t="s">
        <v>6526</v>
      </c>
    </row>
    <row r="30" spans="1:9" ht="87" customHeight="1" x14ac:dyDescent="0.2">
      <c r="A30" s="5" t="s">
        <v>6531</v>
      </c>
      <c r="B30" s="5" t="s">
        <v>6522</v>
      </c>
      <c r="C30" s="5" t="s">
        <v>6532</v>
      </c>
      <c r="D30" s="5" t="s">
        <v>3897</v>
      </c>
      <c r="E30" s="5" t="s">
        <v>4297</v>
      </c>
      <c r="F30" s="5" t="s">
        <v>6524</v>
      </c>
      <c r="G30" s="5" t="s">
        <v>6525</v>
      </c>
      <c r="H30" s="5" t="s">
        <v>4467</v>
      </c>
      <c r="I30" s="5" t="s">
        <v>6526</v>
      </c>
    </row>
    <row r="31" spans="1:9" ht="87" customHeight="1" x14ac:dyDescent="0.2">
      <c r="A31" s="5" t="s">
        <v>6533</v>
      </c>
      <c r="B31" s="5" t="s">
        <v>6522</v>
      </c>
      <c r="C31" s="5" t="s">
        <v>6534</v>
      </c>
      <c r="D31" s="5" t="s">
        <v>3897</v>
      </c>
      <c r="E31" s="5" t="s">
        <v>4305</v>
      </c>
      <c r="F31" s="5" t="s">
        <v>6524</v>
      </c>
      <c r="G31" s="5" t="s">
        <v>6525</v>
      </c>
      <c r="H31" s="5" t="s">
        <v>4467</v>
      </c>
      <c r="I31" s="5" t="s">
        <v>6526</v>
      </c>
    </row>
    <row r="32" spans="1:9" ht="87" customHeight="1" x14ac:dyDescent="0.2">
      <c r="A32" s="5" t="s">
        <v>6535</v>
      </c>
      <c r="B32" s="5" t="s">
        <v>6522</v>
      </c>
      <c r="C32" s="5" t="s">
        <v>6536</v>
      </c>
      <c r="D32" s="5" t="s">
        <v>3897</v>
      </c>
      <c r="E32" s="5" t="s">
        <v>4313</v>
      </c>
      <c r="F32" s="5" t="s">
        <v>6524</v>
      </c>
      <c r="G32" s="5" t="s">
        <v>6525</v>
      </c>
      <c r="H32" s="5" t="s">
        <v>4467</v>
      </c>
      <c r="I32" s="5" t="s">
        <v>6526</v>
      </c>
    </row>
    <row r="33" spans="1:9" ht="87" customHeight="1" x14ac:dyDescent="0.2">
      <c r="A33" s="5" t="s">
        <v>6537</v>
      </c>
      <c r="B33" s="5" t="s">
        <v>6522</v>
      </c>
      <c r="C33" s="5" t="s">
        <v>6538</v>
      </c>
      <c r="D33" s="5" t="s">
        <v>3897</v>
      </c>
      <c r="E33" s="5" t="s">
        <v>4321</v>
      </c>
      <c r="F33" s="5" t="s">
        <v>6524</v>
      </c>
      <c r="G33" s="5" t="s">
        <v>6525</v>
      </c>
      <c r="H33" s="5" t="s">
        <v>4467</v>
      </c>
      <c r="I33" s="5" t="s">
        <v>6526</v>
      </c>
    </row>
    <row r="34" spans="1:9" ht="87" customHeight="1" x14ac:dyDescent="0.2">
      <c r="A34" s="5" t="s">
        <v>6539</v>
      </c>
      <c r="B34" s="5" t="s">
        <v>6522</v>
      </c>
      <c r="C34" s="5" t="s">
        <v>6540</v>
      </c>
      <c r="D34" s="5" t="s">
        <v>3897</v>
      </c>
      <c r="E34" s="5" t="s">
        <v>4329</v>
      </c>
      <c r="F34" s="5" t="s">
        <v>6524</v>
      </c>
      <c r="G34" s="5" t="s">
        <v>6525</v>
      </c>
      <c r="H34" s="5" t="s">
        <v>4467</v>
      </c>
      <c r="I34" s="5" t="s">
        <v>6526</v>
      </c>
    </row>
    <row r="35" spans="1:9" ht="87" customHeight="1" x14ac:dyDescent="0.2">
      <c r="A35" s="5" t="s">
        <v>6541</v>
      </c>
      <c r="B35" s="5" t="s">
        <v>6522</v>
      </c>
      <c r="C35" s="5" t="s">
        <v>6542</v>
      </c>
      <c r="D35" s="5" t="s">
        <v>3897</v>
      </c>
      <c r="E35" s="5" t="s">
        <v>4337</v>
      </c>
      <c r="F35" s="5" t="s">
        <v>6524</v>
      </c>
      <c r="G35" s="5" t="s">
        <v>6525</v>
      </c>
      <c r="H35" s="5" t="s">
        <v>4467</v>
      </c>
      <c r="I35" s="5" t="s">
        <v>6526</v>
      </c>
    </row>
    <row r="36" spans="1:9" ht="87" customHeight="1" x14ac:dyDescent="0.2">
      <c r="A36" s="5" t="s">
        <v>6543</v>
      </c>
      <c r="B36" s="5" t="s">
        <v>6522</v>
      </c>
      <c r="C36" s="5" t="s">
        <v>6544</v>
      </c>
      <c r="D36" s="5" t="s">
        <v>3897</v>
      </c>
      <c r="E36" s="5" t="s">
        <v>4345</v>
      </c>
      <c r="F36" s="5" t="s">
        <v>6524</v>
      </c>
      <c r="G36" s="5" t="s">
        <v>6525</v>
      </c>
      <c r="H36" s="5" t="s">
        <v>4467</v>
      </c>
      <c r="I36" s="5" t="s">
        <v>6526</v>
      </c>
    </row>
    <row r="37" spans="1:9" ht="87" customHeight="1" x14ac:dyDescent="0.2">
      <c r="A37" s="5" t="s">
        <v>6545</v>
      </c>
      <c r="B37" s="5" t="s">
        <v>6522</v>
      </c>
      <c r="C37" s="5" t="s">
        <v>6546</v>
      </c>
      <c r="D37" s="5" t="s">
        <v>3897</v>
      </c>
      <c r="E37" s="5" t="s">
        <v>4353</v>
      </c>
      <c r="F37" s="5" t="s">
        <v>6524</v>
      </c>
      <c r="G37" s="5" t="s">
        <v>6525</v>
      </c>
      <c r="H37" s="5" t="s">
        <v>4467</v>
      </c>
      <c r="I37" s="5" t="s">
        <v>6526</v>
      </c>
    </row>
    <row r="38" spans="1:9" ht="87" customHeight="1" x14ac:dyDescent="0.2">
      <c r="A38" s="5" t="s">
        <v>6547</v>
      </c>
      <c r="B38" s="5" t="s">
        <v>6522</v>
      </c>
      <c r="C38" s="5" t="s">
        <v>6548</v>
      </c>
      <c r="D38" s="5" t="s">
        <v>3897</v>
      </c>
      <c r="E38" s="5" t="s">
        <v>4361</v>
      </c>
      <c r="F38" s="5" t="s">
        <v>6524</v>
      </c>
      <c r="G38" s="5" t="s">
        <v>6525</v>
      </c>
      <c r="H38" s="5" t="s">
        <v>4467</v>
      </c>
      <c r="I38" s="5" t="s">
        <v>6526</v>
      </c>
    </row>
  </sheetData>
  <conditionalFormatting sqref="G7:G1200">
    <cfRule type="containsText" dxfId="4" priority="1" operator="containsText" text="BLOCK"/>
  </conditionalFormatting>
  <dataValidations count="3">
    <dataValidation type="list" sqref="D7:D1200" xr:uid="{00000000-0002-0000-1600-000000000000}">
      <formula1>og_list_21</formula1>
    </dataValidation>
    <dataValidation type="list" sqref="E7:E1200" xr:uid="{00000000-0002-0000-1600-000001000000}">
      <formula1>og_list_13</formula1>
    </dataValidation>
    <dataValidation type="list" sqref="H7:H1200" xr:uid="{00000000-0002-0000-1600-000002000000}">
      <formula1>"DIRECT,DERIVED,CONTEXTUAL"</formula1>
    </dataValidation>
  </dataValidations>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67E8F9"/>
  </sheetPr>
  <dimension ref="A1:G21"/>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7" width="48.0234375" customWidth="1"/>
  </cols>
  <sheetData>
    <row r="1" spans="1:7" ht="21.75" x14ac:dyDescent="0.25">
      <c r="A1" s="3" t="s">
        <v>6549</v>
      </c>
      <c r="B1" s="2"/>
      <c r="C1" s="2"/>
      <c r="D1" s="2"/>
      <c r="E1" s="2"/>
      <c r="F1" s="2"/>
      <c r="G1" s="2"/>
    </row>
    <row r="2" spans="1:7" x14ac:dyDescent="0.2">
      <c r="A2" s="2" t="str">
        <f>HYPERLINK("#'Home'!A1","Home")</f>
        <v>Home</v>
      </c>
      <c r="B2" s="2" t="str">
        <f>HYPERLINK("#'Reader'!A1","Read a record")</f>
        <v>Read a record</v>
      </c>
      <c r="C2" s="2"/>
      <c r="D2" s="2"/>
      <c r="E2" s="2"/>
      <c r="F2" s="2"/>
      <c r="G2" s="2"/>
    </row>
    <row r="3" spans="1:7" ht="45.95" customHeight="1" x14ac:dyDescent="0.2">
      <c r="A3" s="2" t="s">
        <v>2130</v>
      </c>
      <c r="B3" s="2"/>
      <c r="C3" s="2"/>
      <c r="D3" s="2"/>
      <c r="E3" s="2"/>
      <c r="F3" s="2"/>
      <c r="G3" s="2"/>
    </row>
    <row r="4" spans="1:7" ht="16.5" x14ac:dyDescent="0.2">
      <c r="A4" s="4" t="str">
        <f>HYPERLINK("#'Field Dictionary'!A254","🖼️🔗 - 1 - SHORT TEXT")</f>
        <v>🖼️🔗 - 1 - SHORT TEXT</v>
      </c>
      <c r="B4" s="4" t="str">
        <f>HYPERLINK("#'Field Dictionary'!A255","🖼️🔗 - 2 - LONG TEXT")</f>
        <v>🖼️🔗 - 2 - LONG TEXT</v>
      </c>
      <c r="C4" s="4" t="str">
        <f>HYPERLINK("#'Field Dictionary'!A256","🖼️🔗 - 3 - SHORT TEXT")</f>
        <v>🖼️🔗 - 3 - SHORT TEXT</v>
      </c>
      <c r="D4" s="4" t="str">
        <f>HYPERLINK("#'Field Dictionary'!A257","🖼️🔗 - 4 - LINKED RECORD")</f>
        <v>🖼️🔗 - 4 - LINKED RECORD</v>
      </c>
      <c r="E4" s="4" t="str">
        <f>HYPERLINK("#'Field Dictionary'!A258","🖼️🔗 - 5 - LINKED RECORD")</f>
        <v>🖼️🔗 - 5 - LINKED RECORD</v>
      </c>
      <c r="F4" s="4" t="str">
        <f>HYPERLINK("#'Field Dictionary'!A259","🖼️🔗 - 6 - SHORT TEXT")</f>
        <v>🖼️🔗 - 6 - SHORT TEXT</v>
      </c>
      <c r="G4" s="4" t="str">
        <f>HYPERLINK("#'Field Dictionary'!A260","🖼️🔗 - 7 - LONG TEXT")</f>
        <v>🖼️🔗 - 7 - LONG TEXT</v>
      </c>
    </row>
    <row r="5" spans="1:7" ht="38.1" customHeight="1" x14ac:dyDescent="0.2">
      <c r="A5" s="7" t="s">
        <v>100</v>
      </c>
      <c r="B5" s="7" t="s">
        <v>101</v>
      </c>
      <c r="C5" s="7" t="s">
        <v>102</v>
      </c>
      <c r="D5" s="7" t="s">
        <v>6550</v>
      </c>
      <c r="E5" s="7" t="s">
        <v>6474</v>
      </c>
      <c r="F5" s="7" t="s">
        <v>6551</v>
      </c>
      <c r="G5" s="7" t="s">
        <v>6552</v>
      </c>
    </row>
    <row r="6" spans="1:7" ht="38.1" customHeight="1" x14ac:dyDescent="0.2">
      <c r="A6" s="7" t="s">
        <v>115</v>
      </c>
      <c r="B6" s="7" t="s">
        <v>116</v>
      </c>
      <c r="C6" s="7" t="s">
        <v>117</v>
      </c>
      <c r="D6" s="7" t="s">
        <v>6182</v>
      </c>
      <c r="E6" s="7" t="s">
        <v>6164</v>
      </c>
      <c r="F6" s="7" t="s">
        <v>6186</v>
      </c>
      <c r="G6" s="7" t="s">
        <v>6189</v>
      </c>
    </row>
    <row r="7" spans="1:7" ht="102" customHeight="1" x14ac:dyDescent="0.2">
      <c r="A7" s="5" t="s">
        <v>6553</v>
      </c>
      <c r="B7" s="5" t="s">
        <v>2130</v>
      </c>
      <c r="C7" s="5" t="s">
        <v>6553</v>
      </c>
      <c r="D7" s="5" t="s">
        <v>3579</v>
      </c>
      <c r="E7" s="5" t="s">
        <v>3574</v>
      </c>
      <c r="F7" s="5" t="s">
        <v>6554</v>
      </c>
      <c r="G7" s="5" t="s">
        <v>4440</v>
      </c>
    </row>
    <row r="8" spans="1:7" ht="117" customHeight="1" x14ac:dyDescent="0.2">
      <c r="A8" s="5" t="s">
        <v>6555</v>
      </c>
      <c r="B8" s="5" t="s">
        <v>2130</v>
      </c>
      <c r="C8" s="5" t="s">
        <v>6555</v>
      </c>
      <c r="D8" s="5" t="s">
        <v>3614</v>
      </c>
      <c r="E8" s="5" t="s">
        <v>3610</v>
      </c>
      <c r="F8" s="5" t="s">
        <v>6554</v>
      </c>
      <c r="G8" s="5" t="s">
        <v>4443</v>
      </c>
    </row>
    <row r="9" spans="1:7" ht="102" customHeight="1" x14ac:dyDescent="0.2">
      <c r="A9" s="5" t="s">
        <v>6556</v>
      </c>
      <c r="B9" s="5" t="s">
        <v>2130</v>
      </c>
      <c r="C9" s="5" t="s">
        <v>6556</v>
      </c>
      <c r="D9" s="5" t="s">
        <v>3646</v>
      </c>
      <c r="E9" s="5" t="s">
        <v>3642</v>
      </c>
      <c r="F9" s="5" t="s">
        <v>6554</v>
      </c>
      <c r="G9" s="5" t="s">
        <v>4444</v>
      </c>
    </row>
    <row r="10" spans="1:7" ht="87" customHeight="1" x14ac:dyDescent="0.2">
      <c r="A10" s="5" t="s">
        <v>6557</v>
      </c>
      <c r="B10" s="5" t="s">
        <v>2130</v>
      </c>
      <c r="C10" s="5" t="s">
        <v>6557</v>
      </c>
      <c r="D10" s="5" t="s">
        <v>3678</v>
      </c>
      <c r="E10" s="5" t="s">
        <v>3674</v>
      </c>
      <c r="F10" s="5" t="s">
        <v>6554</v>
      </c>
      <c r="G10" s="5" t="s">
        <v>4445</v>
      </c>
    </row>
    <row r="11" spans="1:7" ht="102" customHeight="1" x14ac:dyDescent="0.2">
      <c r="A11" s="5" t="s">
        <v>6558</v>
      </c>
      <c r="B11" s="5" t="s">
        <v>2130</v>
      </c>
      <c r="C11" s="5" t="s">
        <v>6558</v>
      </c>
      <c r="D11" s="5" t="s">
        <v>3710</v>
      </c>
      <c r="E11" s="5" t="s">
        <v>3706</v>
      </c>
      <c r="F11" s="5" t="s">
        <v>6554</v>
      </c>
      <c r="G11" s="5" t="s">
        <v>4446</v>
      </c>
    </row>
    <row r="12" spans="1:7" ht="102" customHeight="1" x14ac:dyDescent="0.2">
      <c r="A12" s="5" t="s">
        <v>6559</v>
      </c>
      <c r="B12" s="5" t="s">
        <v>2130</v>
      </c>
      <c r="C12" s="5" t="s">
        <v>6559</v>
      </c>
      <c r="D12" s="5" t="s">
        <v>3742</v>
      </c>
      <c r="E12" s="5" t="s">
        <v>3738</v>
      </c>
      <c r="F12" s="5" t="s">
        <v>6554</v>
      </c>
      <c r="G12" s="5" t="s">
        <v>4447</v>
      </c>
    </row>
    <row r="13" spans="1:7" ht="102" customHeight="1" x14ac:dyDescent="0.2">
      <c r="A13" s="5" t="s">
        <v>6560</v>
      </c>
      <c r="B13" s="5" t="s">
        <v>2130</v>
      </c>
      <c r="C13" s="5" t="s">
        <v>6560</v>
      </c>
      <c r="D13" s="5" t="s">
        <v>3774</v>
      </c>
      <c r="E13" s="5" t="s">
        <v>3770</v>
      </c>
      <c r="F13" s="5" t="s">
        <v>6554</v>
      </c>
      <c r="G13" s="5" t="s">
        <v>4448</v>
      </c>
    </row>
    <row r="14" spans="1:7" ht="117" customHeight="1" x14ac:dyDescent="0.2">
      <c r="A14" s="5" t="s">
        <v>6561</v>
      </c>
      <c r="B14" s="5" t="s">
        <v>2130</v>
      </c>
      <c r="C14" s="5" t="s">
        <v>6561</v>
      </c>
      <c r="D14" s="5" t="s">
        <v>3806</v>
      </c>
      <c r="E14" s="5" t="s">
        <v>3802</v>
      </c>
      <c r="F14" s="5" t="s">
        <v>6554</v>
      </c>
      <c r="G14" s="5" t="s">
        <v>4449</v>
      </c>
    </row>
    <row r="15" spans="1:7" ht="57" customHeight="1" x14ac:dyDescent="0.2">
      <c r="A15" s="5" t="s">
        <v>6562</v>
      </c>
      <c r="B15" s="5" t="s">
        <v>264</v>
      </c>
      <c r="C15" s="5" t="s">
        <v>6562</v>
      </c>
      <c r="D15" s="5" t="s">
        <v>4020</v>
      </c>
      <c r="E15" s="5" t="s">
        <v>3920</v>
      </c>
      <c r="F15" s="5" t="s">
        <v>4513</v>
      </c>
      <c r="G15" s="5" t="s">
        <v>4514</v>
      </c>
    </row>
    <row r="16" spans="1:7" ht="57" customHeight="1" x14ac:dyDescent="0.2">
      <c r="A16" s="5" t="s">
        <v>6563</v>
      </c>
      <c r="B16" s="5" t="s">
        <v>264</v>
      </c>
      <c r="C16" s="5" t="s">
        <v>6563</v>
      </c>
      <c r="D16" s="5" t="s">
        <v>4028</v>
      </c>
      <c r="E16" s="5" t="s">
        <v>3941</v>
      </c>
      <c r="F16" s="5" t="s">
        <v>4520</v>
      </c>
      <c r="G16" s="5" t="s">
        <v>4521</v>
      </c>
    </row>
    <row r="17" spans="1:7" ht="50.1" customHeight="1" x14ac:dyDescent="0.2">
      <c r="A17" s="5" t="s">
        <v>6564</v>
      </c>
      <c r="B17" s="5" t="s">
        <v>264</v>
      </c>
      <c r="C17" s="5" t="s">
        <v>6564</v>
      </c>
      <c r="D17" s="5" t="s">
        <v>4036</v>
      </c>
      <c r="E17" s="5" t="s">
        <v>3941</v>
      </c>
      <c r="F17" s="5" t="s">
        <v>4524</v>
      </c>
      <c r="G17" s="5" t="s">
        <v>4525</v>
      </c>
    </row>
    <row r="18" spans="1:7" ht="57" customHeight="1" x14ac:dyDescent="0.2">
      <c r="A18" s="5" t="s">
        <v>6565</v>
      </c>
      <c r="B18" s="5" t="s">
        <v>264</v>
      </c>
      <c r="C18" s="5" t="s">
        <v>6565</v>
      </c>
      <c r="D18" s="5" t="s">
        <v>4044</v>
      </c>
      <c r="E18" s="5" t="s">
        <v>3948</v>
      </c>
      <c r="F18" s="5" t="s">
        <v>4529</v>
      </c>
      <c r="G18" s="5" t="s">
        <v>4530</v>
      </c>
    </row>
    <row r="19" spans="1:7" ht="57" customHeight="1" x14ac:dyDescent="0.2">
      <c r="A19" s="5" t="s">
        <v>6566</v>
      </c>
      <c r="B19" s="5" t="s">
        <v>264</v>
      </c>
      <c r="C19" s="5" t="s">
        <v>6566</v>
      </c>
      <c r="D19" s="5" t="s">
        <v>4052</v>
      </c>
      <c r="E19" s="5" t="s">
        <v>3955</v>
      </c>
      <c r="F19" s="5" t="s">
        <v>4534</v>
      </c>
      <c r="G19" s="5" t="s">
        <v>4535</v>
      </c>
    </row>
    <row r="20" spans="1:7" ht="57" customHeight="1" x14ac:dyDescent="0.2">
      <c r="A20" s="5" t="s">
        <v>6567</v>
      </c>
      <c r="B20" s="5" t="s">
        <v>264</v>
      </c>
      <c r="C20" s="5" t="s">
        <v>6567</v>
      </c>
      <c r="D20" s="5" t="s">
        <v>4060</v>
      </c>
      <c r="E20" s="5" t="s">
        <v>3962</v>
      </c>
      <c r="F20" s="5" t="s">
        <v>4539</v>
      </c>
      <c r="G20" s="5" t="s">
        <v>4540</v>
      </c>
    </row>
    <row r="21" spans="1:7" ht="57" customHeight="1" x14ac:dyDescent="0.2">
      <c r="A21" s="5" t="s">
        <v>6568</v>
      </c>
      <c r="B21" s="5" t="s">
        <v>264</v>
      </c>
      <c r="C21" s="5" t="s">
        <v>6568</v>
      </c>
      <c r="D21" s="5" t="s">
        <v>4068</v>
      </c>
      <c r="E21" s="5" t="s">
        <v>3969</v>
      </c>
      <c r="F21" s="5" t="s">
        <v>4544</v>
      </c>
      <c r="G21" s="5" t="s">
        <v>4545</v>
      </c>
    </row>
  </sheetData>
  <dataValidations count="2">
    <dataValidation type="list" sqref="D7:D1200" xr:uid="{00000000-0002-0000-1700-000000000000}">
      <formula1>og_list_14</formula1>
    </dataValidation>
    <dataValidation type="list" sqref="E7:E1200" xr:uid="{00000000-0002-0000-1700-000001000000}">
      <formula1>og_list_13</formula1>
    </dataValidation>
  </dataValidations>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67E8F9"/>
  </sheetPr>
  <dimension ref="A1:I65"/>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8" width="18.0234375" customWidth="1"/>
    <col min="9" max="9" width="48.0234375" customWidth="1"/>
  </cols>
  <sheetData>
    <row r="1" spans="1:9" ht="40.5" x14ac:dyDescent="0.25">
      <c r="A1" s="3" t="s">
        <v>6569</v>
      </c>
      <c r="B1" s="2"/>
      <c r="C1" s="2"/>
      <c r="D1" s="2"/>
      <c r="E1" s="2"/>
      <c r="F1" s="2"/>
      <c r="G1" s="2"/>
      <c r="H1" s="2"/>
      <c r="I1" s="2"/>
    </row>
    <row r="2" spans="1:9" x14ac:dyDescent="0.2">
      <c r="A2" s="2" t="str">
        <f>HYPERLINK("#'Home'!A1","Home")</f>
        <v>Home</v>
      </c>
      <c r="B2" s="2" t="str">
        <f>HYPERLINK("#'Reader'!A1","Read a record")</f>
        <v>Read a record</v>
      </c>
      <c r="C2" s="2"/>
      <c r="D2" s="2"/>
      <c r="E2" s="2"/>
      <c r="F2" s="2"/>
      <c r="G2" s="2"/>
      <c r="H2" s="2"/>
      <c r="I2" s="2"/>
    </row>
    <row r="3" spans="1:9" ht="45.95" customHeight="1" x14ac:dyDescent="0.2">
      <c r="A3" s="2" t="s">
        <v>2177</v>
      </c>
      <c r="B3" s="2"/>
      <c r="C3" s="2"/>
      <c r="D3" s="2"/>
      <c r="E3" s="2"/>
      <c r="F3" s="2"/>
      <c r="G3" s="2"/>
      <c r="H3" s="2"/>
      <c r="I3" s="2"/>
    </row>
    <row r="4" spans="1:9" ht="16.5" x14ac:dyDescent="0.2">
      <c r="A4" s="4" t="str">
        <f>HYPERLINK("#'Field Dictionary'!A261","🧰🔗 - 1 - SHORT TEXT")</f>
        <v>🧰🔗 - 1 - SHORT TEXT</v>
      </c>
      <c r="B4" s="4" t="str">
        <f>HYPERLINK("#'Field Dictionary'!A262","🧰🔗 - 2 - LONG TEXT")</f>
        <v>🧰🔗 - 2 - LONG TEXT</v>
      </c>
      <c r="C4" s="4" t="str">
        <f>HYPERLINK("#'Field Dictionary'!A263","🧰🔗 - 3 - SHORT TEXT")</f>
        <v>🧰🔗 - 3 - SHORT TEXT</v>
      </c>
      <c r="D4" s="4" t="str">
        <f>HYPERLINK("#'Field Dictionary'!A264","🧰🔗 - 4 - LINKED RECORD")</f>
        <v>🧰🔗 - 4 - LINKED RECORD</v>
      </c>
      <c r="E4" s="4" t="str">
        <f>HYPERLINK("#'Field Dictionary'!A265","🧰🔗 - 5 - LINKED RECORD")</f>
        <v>🧰🔗 - 5 - LINKED RECORD</v>
      </c>
      <c r="F4" s="4" t="str">
        <f>HYPERLINK("#'Field Dictionary'!A266","🧰🔗 - 6 - SHORT TEXT")</f>
        <v>🧰🔗 - 6 - SHORT TEXT</v>
      </c>
      <c r="G4" s="4" t="str">
        <f>HYPERLINK("#'Field Dictionary'!A267","🧰🔗 - 7 - INTEGER")</f>
        <v>🧰🔗 - 7 - INTEGER</v>
      </c>
      <c r="H4" s="4" t="str">
        <f>HYPERLINK("#'Field Dictionary'!A268","🧰🔗 - 8 - INTEGER")</f>
        <v>🧰🔗 - 8 - INTEGER</v>
      </c>
      <c r="I4" s="4" t="str">
        <f>HYPERLINK("#'Field Dictionary'!A269","🧰🔗 - 9 - LONG TEXT")</f>
        <v>🧰🔗 - 9 - LONG TEXT</v>
      </c>
    </row>
    <row r="5" spans="1:9" ht="38.1" customHeight="1" x14ac:dyDescent="0.2">
      <c r="A5" s="7" t="s">
        <v>100</v>
      </c>
      <c r="B5" s="7" t="s">
        <v>101</v>
      </c>
      <c r="C5" s="7" t="s">
        <v>102</v>
      </c>
      <c r="D5" s="7" t="s">
        <v>6550</v>
      </c>
      <c r="E5" s="7" t="s">
        <v>6570</v>
      </c>
      <c r="F5" s="7" t="s">
        <v>6571</v>
      </c>
      <c r="G5" s="7" t="s">
        <v>6572</v>
      </c>
      <c r="H5" s="7" t="s">
        <v>6573</v>
      </c>
      <c r="I5" s="7" t="s">
        <v>6574</v>
      </c>
    </row>
    <row r="6" spans="1:9" ht="38.1" customHeight="1" x14ac:dyDescent="0.2">
      <c r="A6" s="7" t="s">
        <v>115</v>
      </c>
      <c r="B6" s="7" t="s">
        <v>116</v>
      </c>
      <c r="C6" s="7" t="s">
        <v>117</v>
      </c>
      <c r="D6" s="7" t="s">
        <v>6182</v>
      </c>
      <c r="E6" s="7" t="s">
        <v>6196</v>
      </c>
      <c r="F6" s="7" t="s">
        <v>6199</v>
      </c>
      <c r="G6" s="7" t="s">
        <v>6202</v>
      </c>
      <c r="H6" s="7" t="s">
        <v>6205</v>
      </c>
      <c r="I6" s="7" t="s">
        <v>6208</v>
      </c>
    </row>
    <row r="7" spans="1:9" ht="50.1" customHeight="1" x14ac:dyDescent="0.2">
      <c r="A7" s="5" t="s">
        <v>6575</v>
      </c>
      <c r="B7" s="5" t="s">
        <v>2177</v>
      </c>
      <c r="C7" s="5" t="s">
        <v>6575</v>
      </c>
      <c r="D7" s="5" t="s">
        <v>3579</v>
      </c>
      <c r="E7" s="5" t="s">
        <v>3588</v>
      </c>
      <c r="F7" s="5" t="s">
        <v>6576</v>
      </c>
      <c r="G7" s="8">
        <v>1</v>
      </c>
      <c r="H7" s="8">
        <v>1</v>
      </c>
      <c r="I7" s="5" t="s">
        <v>6577</v>
      </c>
    </row>
    <row r="8" spans="1:9" ht="50.1" customHeight="1" x14ac:dyDescent="0.2">
      <c r="A8" s="5" t="s">
        <v>6578</v>
      </c>
      <c r="B8" s="5" t="s">
        <v>2177</v>
      </c>
      <c r="C8" s="5" t="s">
        <v>6578</v>
      </c>
      <c r="D8" s="5" t="s">
        <v>3579</v>
      </c>
      <c r="E8" s="5" t="s">
        <v>3597</v>
      </c>
      <c r="F8" s="5" t="s">
        <v>6579</v>
      </c>
      <c r="G8" s="8">
        <v>1</v>
      </c>
      <c r="H8" s="8">
        <v>1</v>
      </c>
      <c r="I8" s="5" t="s">
        <v>6577</v>
      </c>
    </row>
    <row r="9" spans="1:9" ht="50.1" customHeight="1" x14ac:dyDescent="0.2">
      <c r="A9" s="5" t="s">
        <v>6580</v>
      </c>
      <c r="B9" s="5" t="s">
        <v>2177</v>
      </c>
      <c r="C9" s="5" t="s">
        <v>6580</v>
      </c>
      <c r="D9" s="5" t="s">
        <v>3614</v>
      </c>
      <c r="E9" s="5" t="s">
        <v>3622</v>
      </c>
      <c r="F9" s="5" t="s">
        <v>6576</v>
      </c>
      <c r="G9" s="8">
        <v>1</v>
      </c>
      <c r="H9" s="8">
        <v>1</v>
      </c>
      <c r="I9" s="5" t="s">
        <v>6577</v>
      </c>
    </row>
    <row r="10" spans="1:9" ht="50.1" customHeight="1" x14ac:dyDescent="0.2">
      <c r="A10" s="5" t="s">
        <v>6581</v>
      </c>
      <c r="B10" s="5" t="s">
        <v>2177</v>
      </c>
      <c r="C10" s="5" t="s">
        <v>6581</v>
      </c>
      <c r="D10" s="5" t="s">
        <v>3614</v>
      </c>
      <c r="E10" s="5" t="s">
        <v>3630</v>
      </c>
      <c r="F10" s="5" t="s">
        <v>6579</v>
      </c>
      <c r="G10" s="8">
        <v>1</v>
      </c>
      <c r="H10" s="8">
        <v>1</v>
      </c>
      <c r="I10" s="5" t="s">
        <v>6577</v>
      </c>
    </row>
    <row r="11" spans="1:9" ht="50.1" customHeight="1" x14ac:dyDescent="0.2">
      <c r="A11" s="5" t="s">
        <v>6582</v>
      </c>
      <c r="B11" s="5" t="s">
        <v>2177</v>
      </c>
      <c r="C11" s="5" t="s">
        <v>6582</v>
      </c>
      <c r="D11" s="5" t="s">
        <v>3646</v>
      </c>
      <c r="E11" s="5" t="s">
        <v>3654</v>
      </c>
      <c r="F11" s="5" t="s">
        <v>6576</v>
      </c>
      <c r="G11" s="8">
        <v>1</v>
      </c>
      <c r="H11" s="8">
        <v>1</v>
      </c>
      <c r="I11" s="5" t="s">
        <v>6577</v>
      </c>
    </row>
    <row r="12" spans="1:9" ht="50.1" customHeight="1" x14ac:dyDescent="0.2">
      <c r="A12" s="5" t="s">
        <v>6583</v>
      </c>
      <c r="B12" s="5" t="s">
        <v>2177</v>
      </c>
      <c r="C12" s="5" t="s">
        <v>6583</v>
      </c>
      <c r="D12" s="5" t="s">
        <v>3646</v>
      </c>
      <c r="E12" s="5" t="s">
        <v>3662</v>
      </c>
      <c r="F12" s="5" t="s">
        <v>6579</v>
      </c>
      <c r="G12" s="8">
        <v>1</v>
      </c>
      <c r="H12" s="8">
        <v>1</v>
      </c>
      <c r="I12" s="5" t="s">
        <v>6577</v>
      </c>
    </row>
    <row r="13" spans="1:9" ht="50.1" customHeight="1" x14ac:dyDescent="0.2">
      <c r="A13" s="5" t="s">
        <v>6584</v>
      </c>
      <c r="B13" s="5" t="s">
        <v>2177</v>
      </c>
      <c r="C13" s="5" t="s">
        <v>6584</v>
      </c>
      <c r="D13" s="5" t="s">
        <v>3678</v>
      </c>
      <c r="E13" s="5" t="s">
        <v>3686</v>
      </c>
      <c r="F13" s="5" t="s">
        <v>6576</v>
      </c>
      <c r="G13" s="8">
        <v>1</v>
      </c>
      <c r="H13" s="8">
        <v>1</v>
      </c>
      <c r="I13" s="5" t="s">
        <v>6577</v>
      </c>
    </row>
    <row r="14" spans="1:9" ht="50.1" customHeight="1" x14ac:dyDescent="0.2">
      <c r="A14" s="5" t="s">
        <v>6585</v>
      </c>
      <c r="B14" s="5" t="s">
        <v>2177</v>
      </c>
      <c r="C14" s="5" t="s">
        <v>6585</v>
      </c>
      <c r="D14" s="5" t="s">
        <v>3678</v>
      </c>
      <c r="E14" s="5" t="s">
        <v>3694</v>
      </c>
      <c r="F14" s="5" t="s">
        <v>6579</v>
      </c>
      <c r="G14" s="8">
        <v>1</v>
      </c>
      <c r="H14" s="8">
        <v>1</v>
      </c>
      <c r="I14" s="5" t="s">
        <v>6577</v>
      </c>
    </row>
    <row r="15" spans="1:9" ht="50.1" customHeight="1" x14ac:dyDescent="0.2">
      <c r="A15" s="5" t="s">
        <v>6586</v>
      </c>
      <c r="B15" s="5" t="s">
        <v>2177</v>
      </c>
      <c r="C15" s="5" t="s">
        <v>6586</v>
      </c>
      <c r="D15" s="5" t="s">
        <v>3710</v>
      </c>
      <c r="E15" s="5" t="s">
        <v>3718</v>
      </c>
      <c r="F15" s="5" t="s">
        <v>6576</v>
      </c>
      <c r="G15" s="8">
        <v>1</v>
      </c>
      <c r="H15" s="8">
        <v>1</v>
      </c>
      <c r="I15" s="5" t="s">
        <v>6577</v>
      </c>
    </row>
    <row r="16" spans="1:9" ht="50.1" customHeight="1" x14ac:dyDescent="0.2">
      <c r="A16" s="5" t="s">
        <v>6587</v>
      </c>
      <c r="B16" s="5" t="s">
        <v>2177</v>
      </c>
      <c r="C16" s="5" t="s">
        <v>6587</v>
      </c>
      <c r="D16" s="5" t="s">
        <v>3710</v>
      </c>
      <c r="E16" s="5" t="s">
        <v>3726</v>
      </c>
      <c r="F16" s="5" t="s">
        <v>6579</v>
      </c>
      <c r="G16" s="8">
        <v>1</v>
      </c>
      <c r="H16" s="8">
        <v>1</v>
      </c>
      <c r="I16" s="5" t="s">
        <v>6577</v>
      </c>
    </row>
    <row r="17" spans="1:9" ht="50.1" customHeight="1" x14ac:dyDescent="0.2">
      <c r="A17" s="5" t="s">
        <v>6588</v>
      </c>
      <c r="B17" s="5" t="s">
        <v>2177</v>
      </c>
      <c r="C17" s="5" t="s">
        <v>6588</v>
      </c>
      <c r="D17" s="5" t="s">
        <v>3742</v>
      </c>
      <c r="E17" s="5" t="s">
        <v>3750</v>
      </c>
      <c r="F17" s="5" t="s">
        <v>6576</v>
      </c>
      <c r="G17" s="8">
        <v>1</v>
      </c>
      <c r="H17" s="8">
        <v>1</v>
      </c>
      <c r="I17" s="5" t="s">
        <v>6577</v>
      </c>
    </row>
    <row r="18" spans="1:9" ht="50.1" customHeight="1" x14ac:dyDescent="0.2">
      <c r="A18" s="5" t="s">
        <v>6589</v>
      </c>
      <c r="B18" s="5" t="s">
        <v>2177</v>
      </c>
      <c r="C18" s="5" t="s">
        <v>6589</v>
      </c>
      <c r="D18" s="5" t="s">
        <v>3742</v>
      </c>
      <c r="E18" s="5" t="s">
        <v>3758</v>
      </c>
      <c r="F18" s="5" t="s">
        <v>6579</v>
      </c>
      <c r="G18" s="8">
        <v>1</v>
      </c>
      <c r="H18" s="8">
        <v>1</v>
      </c>
      <c r="I18" s="5" t="s">
        <v>6577</v>
      </c>
    </row>
    <row r="19" spans="1:9" ht="50.1" customHeight="1" x14ac:dyDescent="0.2">
      <c r="A19" s="5" t="s">
        <v>6590</v>
      </c>
      <c r="B19" s="5" t="s">
        <v>2177</v>
      </c>
      <c r="C19" s="5" t="s">
        <v>6590</v>
      </c>
      <c r="D19" s="5" t="s">
        <v>3774</v>
      </c>
      <c r="E19" s="5" t="s">
        <v>3782</v>
      </c>
      <c r="F19" s="5" t="s">
        <v>6576</v>
      </c>
      <c r="G19" s="8">
        <v>1</v>
      </c>
      <c r="H19" s="8">
        <v>1</v>
      </c>
      <c r="I19" s="5" t="s">
        <v>6577</v>
      </c>
    </row>
    <row r="20" spans="1:9" ht="50.1" customHeight="1" x14ac:dyDescent="0.2">
      <c r="A20" s="5" t="s">
        <v>6591</v>
      </c>
      <c r="B20" s="5" t="s">
        <v>2177</v>
      </c>
      <c r="C20" s="5" t="s">
        <v>6591</v>
      </c>
      <c r="D20" s="5" t="s">
        <v>3774</v>
      </c>
      <c r="E20" s="5" t="s">
        <v>3790</v>
      </c>
      <c r="F20" s="5" t="s">
        <v>6579</v>
      </c>
      <c r="G20" s="8">
        <v>1</v>
      </c>
      <c r="H20" s="8">
        <v>1</v>
      </c>
      <c r="I20" s="5" t="s">
        <v>6577</v>
      </c>
    </row>
    <row r="21" spans="1:9" ht="50.1" customHeight="1" x14ac:dyDescent="0.2">
      <c r="A21" s="5" t="s">
        <v>6592</v>
      </c>
      <c r="B21" s="5" t="s">
        <v>2177</v>
      </c>
      <c r="C21" s="5" t="s">
        <v>6592</v>
      </c>
      <c r="D21" s="5" t="s">
        <v>3806</v>
      </c>
      <c r="E21" s="5" t="s">
        <v>3814</v>
      </c>
      <c r="F21" s="5" t="s">
        <v>6576</v>
      </c>
      <c r="G21" s="8">
        <v>1</v>
      </c>
      <c r="H21" s="8">
        <v>1</v>
      </c>
      <c r="I21" s="5" t="s">
        <v>6577</v>
      </c>
    </row>
    <row r="22" spans="1:9" ht="50.1" customHeight="1" x14ac:dyDescent="0.2">
      <c r="A22" s="5" t="s">
        <v>6593</v>
      </c>
      <c r="B22" s="5" t="s">
        <v>2177</v>
      </c>
      <c r="C22" s="5" t="s">
        <v>6593</v>
      </c>
      <c r="D22" s="5" t="s">
        <v>3806</v>
      </c>
      <c r="E22" s="5" t="s">
        <v>3822</v>
      </c>
      <c r="F22" s="5" t="s">
        <v>6579</v>
      </c>
      <c r="G22" s="8">
        <v>1</v>
      </c>
      <c r="H22" s="8">
        <v>1</v>
      </c>
      <c r="I22" s="5" t="s">
        <v>6577</v>
      </c>
    </row>
    <row r="23" spans="1:9" ht="57" customHeight="1" x14ac:dyDescent="0.2">
      <c r="A23" s="5" t="s">
        <v>6594</v>
      </c>
      <c r="B23" s="5" t="s">
        <v>264</v>
      </c>
      <c r="C23" s="5" t="s">
        <v>6594</v>
      </c>
      <c r="D23" s="5" t="s">
        <v>4020</v>
      </c>
      <c r="E23" s="5" t="s">
        <v>4004</v>
      </c>
      <c r="F23" s="5" t="s">
        <v>6595</v>
      </c>
      <c r="G23" s="8">
        <v>1</v>
      </c>
      <c r="H23" s="8">
        <v>1</v>
      </c>
      <c r="I23" s="5" t="s">
        <v>6596</v>
      </c>
    </row>
    <row r="24" spans="1:9" ht="57" customHeight="1" x14ac:dyDescent="0.2">
      <c r="A24" s="5" t="s">
        <v>6597</v>
      </c>
      <c r="B24" s="5" t="s">
        <v>264</v>
      </c>
      <c r="C24" s="5" t="s">
        <v>6597</v>
      </c>
      <c r="D24" s="5" t="s">
        <v>4020</v>
      </c>
      <c r="E24" s="5" t="s">
        <v>4008</v>
      </c>
      <c r="F24" s="5" t="s">
        <v>6595</v>
      </c>
      <c r="G24" s="8">
        <v>1</v>
      </c>
      <c r="H24" s="8">
        <v>1</v>
      </c>
      <c r="I24" s="5" t="s">
        <v>6596</v>
      </c>
    </row>
    <row r="25" spans="1:9" ht="57" customHeight="1" x14ac:dyDescent="0.2">
      <c r="A25" s="5" t="s">
        <v>6598</v>
      </c>
      <c r="B25" s="5" t="s">
        <v>264</v>
      </c>
      <c r="C25" s="5" t="s">
        <v>6598</v>
      </c>
      <c r="D25" s="5" t="s">
        <v>4020</v>
      </c>
      <c r="E25" s="5" t="s">
        <v>4012</v>
      </c>
      <c r="F25" s="5" t="s">
        <v>6595</v>
      </c>
      <c r="G25" s="8">
        <v>1</v>
      </c>
      <c r="H25" s="8">
        <v>1</v>
      </c>
      <c r="I25" s="5" t="s">
        <v>6596</v>
      </c>
    </row>
    <row r="26" spans="1:9" ht="57" customHeight="1" x14ac:dyDescent="0.2">
      <c r="A26" s="5" t="s">
        <v>6599</v>
      </c>
      <c r="B26" s="5" t="s">
        <v>264</v>
      </c>
      <c r="C26" s="5" t="s">
        <v>6599</v>
      </c>
      <c r="D26" s="5" t="s">
        <v>4020</v>
      </c>
      <c r="E26" s="5" t="s">
        <v>4016</v>
      </c>
      <c r="F26" s="5" t="s">
        <v>6595</v>
      </c>
      <c r="G26" s="8">
        <v>1</v>
      </c>
      <c r="H26" s="8">
        <v>1</v>
      </c>
      <c r="I26" s="5" t="s">
        <v>6596</v>
      </c>
    </row>
    <row r="27" spans="1:9" ht="57" customHeight="1" x14ac:dyDescent="0.2">
      <c r="A27" s="5" t="s">
        <v>6600</v>
      </c>
      <c r="B27" s="5" t="s">
        <v>264</v>
      </c>
      <c r="C27" s="5" t="s">
        <v>6600</v>
      </c>
      <c r="D27" s="5" t="s">
        <v>4020</v>
      </c>
      <c r="E27" s="5" t="s">
        <v>4024</v>
      </c>
      <c r="F27" s="5" t="s">
        <v>6595</v>
      </c>
      <c r="G27" s="8">
        <v>1</v>
      </c>
      <c r="H27" s="8">
        <v>1</v>
      </c>
      <c r="I27" s="5" t="s">
        <v>6596</v>
      </c>
    </row>
    <row r="28" spans="1:9" ht="57" customHeight="1" x14ac:dyDescent="0.2">
      <c r="A28" s="5" t="s">
        <v>6601</v>
      </c>
      <c r="B28" s="5" t="s">
        <v>264</v>
      </c>
      <c r="C28" s="5" t="s">
        <v>6601</v>
      </c>
      <c r="D28" s="5" t="s">
        <v>4028</v>
      </c>
      <c r="E28" s="5" t="s">
        <v>3997</v>
      </c>
      <c r="F28" s="5" t="s">
        <v>6595</v>
      </c>
      <c r="G28" s="8">
        <v>1</v>
      </c>
      <c r="H28" s="8">
        <v>1</v>
      </c>
      <c r="I28" s="5" t="s">
        <v>6596</v>
      </c>
    </row>
    <row r="29" spans="1:9" ht="57" customHeight="1" x14ac:dyDescent="0.2">
      <c r="A29" s="5" t="s">
        <v>6602</v>
      </c>
      <c r="B29" s="5" t="s">
        <v>264</v>
      </c>
      <c r="C29" s="5" t="s">
        <v>6602</v>
      </c>
      <c r="D29" s="5" t="s">
        <v>4028</v>
      </c>
      <c r="E29" s="5" t="s">
        <v>4004</v>
      </c>
      <c r="F29" s="5" t="s">
        <v>6595</v>
      </c>
      <c r="G29" s="8">
        <v>1</v>
      </c>
      <c r="H29" s="8">
        <v>1</v>
      </c>
      <c r="I29" s="5" t="s">
        <v>6596</v>
      </c>
    </row>
    <row r="30" spans="1:9" ht="57" customHeight="1" x14ac:dyDescent="0.2">
      <c r="A30" s="5" t="s">
        <v>6603</v>
      </c>
      <c r="B30" s="5" t="s">
        <v>264</v>
      </c>
      <c r="C30" s="5" t="s">
        <v>6603</v>
      </c>
      <c r="D30" s="5" t="s">
        <v>4028</v>
      </c>
      <c r="E30" s="5" t="s">
        <v>4008</v>
      </c>
      <c r="F30" s="5" t="s">
        <v>6595</v>
      </c>
      <c r="G30" s="8">
        <v>1</v>
      </c>
      <c r="H30" s="8">
        <v>1</v>
      </c>
      <c r="I30" s="5" t="s">
        <v>6596</v>
      </c>
    </row>
    <row r="31" spans="1:9" ht="57" customHeight="1" x14ac:dyDescent="0.2">
      <c r="A31" s="5" t="s">
        <v>6604</v>
      </c>
      <c r="B31" s="5" t="s">
        <v>264</v>
      </c>
      <c r="C31" s="5" t="s">
        <v>6604</v>
      </c>
      <c r="D31" s="5" t="s">
        <v>4028</v>
      </c>
      <c r="E31" s="5" t="s">
        <v>4012</v>
      </c>
      <c r="F31" s="5" t="s">
        <v>6595</v>
      </c>
      <c r="G31" s="8">
        <v>1</v>
      </c>
      <c r="H31" s="8">
        <v>1</v>
      </c>
      <c r="I31" s="5" t="s">
        <v>6596</v>
      </c>
    </row>
    <row r="32" spans="1:9" ht="57" customHeight="1" x14ac:dyDescent="0.2">
      <c r="A32" s="5" t="s">
        <v>6605</v>
      </c>
      <c r="B32" s="5" t="s">
        <v>264</v>
      </c>
      <c r="C32" s="5" t="s">
        <v>6605</v>
      </c>
      <c r="D32" s="5" t="s">
        <v>4028</v>
      </c>
      <c r="E32" s="5" t="s">
        <v>4016</v>
      </c>
      <c r="F32" s="5" t="s">
        <v>6595</v>
      </c>
      <c r="G32" s="8">
        <v>1</v>
      </c>
      <c r="H32" s="8">
        <v>1</v>
      </c>
      <c r="I32" s="5" t="s">
        <v>6596</v>
      </c>
    </row>
    <row r="33" spans="1:9" ht="57" customHeight="1" x14ac:dyDescent="0.2">
      <c r="A33" s="5" t="s">
        <v>6606</v>
      </c>
      <c r="B33" s="5" t="s">
        <v>264</v>
      </c>
      <c r="C33" s="5" t="s">
        <v>6606</v>
      </c>
      <c r="D33" s="5" t="s">
        <v>4028</v>
      </c>
      <c r="E33" s="5" t="s">
        <v>4032</v>
      </c>
      <c r="F33" s="5" t="s">
        <v>6595</v>
      </c>
      <c r="G33" s="8">
        <v>1</v>
      </c>
      <c r="H33" s="8">
        <v>1</v>
      </c>
      <c r="I33" s="5" t="s">
        <v>6596</v>
      </c>
    </row>
    <row r="34" spans="1:9" ht="57" customHeight="1" x14ac:dyDescent="0.2">
      <c r="A34" s="5" t="s">
        <v>6607</v>
      </c>
      <c r="B34" s="5" t="s">
        <v>264</v>
      </c>
      <c r="C34" s="5" t="s">
        <v>6607</v>
      </c>
      <c r="D34" s="5" t="s">
        <v>4036</v>
      </c>
      <c r="E34" s="5" t="s">
        <v>3997</v>
      </c>
      <c r="F34" s="5" t="s">
        <v>6595</v>
      </c>
      <c r="G34" s="8">
        <v>1</v>
      </c>
      <c r="H34" s="8">
        <v>1</v>
      </c>
      <c r="I34" s="5" t="s">
        <v>6596</v>
      </c>
    </row>
    <row r="35" spans="1:9" ht="57" customHeight="1" x14ac:dyDescent="0.2">
      <c r="A35" s="5" t="s">
        <v>6608</v>
      </c>
      <c r="B35" s="5" t="s">
        <v>264</v>
      </c>
      <c r="C35" s="5" t="s">
        <v>6608</v>
      </c>
      <c r="D35" s="5" t="s">
        <v>4036</v>
      </c>
      <c r="E35" s="5" t="s">
        <v>4001</v>
      </c>
      <c r="F35" s="5" t="s">
        <v>6595</v>
      </c>
      <c r="G35" s="8">
        <v>1</v>
      </c>
      <c r="H35" s="8">
        <v>1</v>
      </c>
      <c r="I35" s="5" t="s">
        <v>6596</v>
      </c>
    </row>
    <row r="36" spans="1:9" ht="57" customHeight="1" x14ac:dyDescent="0.2">
      <c r="A36" s="5" t="s">
        <v>6609</v>
      </c>
      <c r="B36" s="5" t="s">
        <v>264</v>
      </c>
      <c r="C36" s="5" t="s">
        <v>6609</v>
      </c>
      <c r="D36" s="5" t="s">
        <v>4036</v>
      </c>
      <c r="E36" s="5" t="s">
        <v>4004</v>
      </c>
      <c r="F36" s="5" t="s">
        <v>6595</v>
      </c>
      <c r="G36" s="8">
        <v>1</v>
      </c>
      <c r="H36" s="8">
        <v>1</v>
      </c>
      <c r="I36" s="5" t="s">
        <v>6596</v>
      </c>
    </row>
    <row r="37" spans="1:9" ht="57" customHeight="1" x14ac:dyDescent="0.2">
      <c r="A37" s="5" t="s">
        <v>6610</v>
      </c>
      <c r="B37" s="5" t="s">
        <v>264</v>
      </c>
      <c r="C37" s="5" t="s">
        <v>6610</v>
      </c>
      <c r="D37" s="5" t="s">
        <v>4036</v>
      </c>
      <c r="E37" s="5" t="s">
        <v>4008</v>
      </c>
      <c r="F37" s="5" t="s">
        <v>6595</v>
      </c>
      <c r="G37" s="8">
        <v>1</v>
      </c>
      <c r="H37" s="8">
        <v>1</v>
      </c>
      <c r="I37" s="5" t="s">
        <v>6596</v>
      </c>
    </row>
    <row r="38" spans="1:9" ht="57" customHeight="1" x14ac:dyDescent="0.2">
      <c r="A38" s="5" t="s">
        <v>6611</v>
      </c>
      <c r="B38" s="5" t="s">
        <v>264</v>
      </c>
      <c r="C38" s="5" t="s">
        <v>6611</v>
      </c>
      <c r="D38" s="5" t="s">
        <v>4036</v>
      </c>
      <c r="E38" s="5" t="s">
        <v>4012</v>
      </c>
      <c r="F38" s="5" t="s">
        <v>6595</v>
      </c>
      <c r="G38" s="8">
        <v>1</v>
      </c>
      <c r="H38" s="8">
        <v>1</v>
      </c>
      <c r="I38" s="5" t="s">
        <v>6596</v>
      </c>
    </row>
    <row r="39" spans="1:9" ht="57" customHeight="1" x14ac:dyDescent="0.2">
      <c r="A39" s="5" t="s">
        <v>6612</v>
      </c>
      <c r="B39" s="5" t="s">
        <v>264</v>
      </c>
      <c r="C39" s="5" t="s">
        <v>6612</v>
      </c>
      <c r="D39" s="5" t="s">
        <v>4036</v>
      </c>
      <c r="E39" s="5" t="s">
        <v>4016</v>
      </c>
      <c r="F39" s="5" t="s">
        <v>6595</v>
      </c>
      <c r="G39" s="8">
        <v>1</v>
      </c>
      <c r="H39" s="8">
        <v>1</v>
      </c>
      <c r="I39" s="5" t="s">
        <v>6596</v>
      </c>
    </row>
    <row r="40" spans="1:9" ht="57" customHeight="1" x14ac:dyDescent="0.2">
      <c r="A40" s="5" t="s">
        <v>6613</v>
      </c>
      <c r="B40" s="5" t="s">
        <v>264</v>
      </c>
      <c r="C40" s="5" t="s">
        <v>6613</v>
      </c>
      <c r="D40" s="5" t="s">
        <v>4036</v>
      </c>
      <c r="E40" s="5" t="s">
        <v>4040</v>
      </c>
      <c r="F40" s="5" t="s">
        <v>6595</v>
      </c>
      <c r="G40" s="8">
        <v>1</v>
      </c>
      <c r="H40" s="8">
        <v>1</v>
      </c>
      <c r="I40" s="5" t="s">
        <v>6596</v>
      </c>
    </row>
    <row r="41" spans="1:9" ht="57" customHeight="1" x14ac:dyDescent="0.2">
      <c r="A41" s="5" t="s">
        <v>6614</v>
      </c>
      <c r="B41" s="5" t="s">
        <v>264</v>
      </c>
      <c r="C41" s="5" t="s">
        <v>6614</v>
      </c>
      <c r="D41" s="5" t="s">
        <v>4044</v>
      </c>
      <c r="E41" s="5" t="s">
        <v>3997</v>
      </c>
      <c r="F41" s="5" t="s">
        <v>6595</v>
      </c>
      <c r="G41" s="8">
        <v>1</v>
      </c>
      <c r="H41" s="8">
        <v>1</v>
      </c>
      <c r="I41" s="5" t="s">
        <v>6596</v>
      </c>
    </row>
    <row r="42" spans="1:9" ht="57" customHeight="1" x14ac:dyDescent="0.2">
      <c r="A42" s="5" t="s">
        <v>6615</v>
      </c>
      <c r="B42" s="5" t="s">
        <v>264</v>
      </c>
      <c r="C42" s="5" t="s">
        <v>6615</v>
      </c>
      <c r="D42" s="5" t="s">
        <v>4044</v>
      </c>
      <c r="E42" s="5" t="s">
        <v>4004</v>
      </c>
      <c r="F42" s="5" t="s">
        <v>6595</v>
      </c>
      <c r="G42" s="8">
        <v>1</v>
      </c>
      <c r="H42" s="8">
        <v>1</v>
      </c>
      <c r="I42" s="5" t="s">
        <v>6596</v>
      </c>
    </row>
    <row r="43" spans="1:9" ht="57" customHeight="1" x14ac:dyDescent="0.2">
      <c r="A43" s="5" t="s">
        <v>6616</v>
      </c>
      <c r="B43" s="5" t="s">
        <v>264</v>
      </c>
      <c r="C43" s="5" t="s">
        <v>6616</v>
      </c>
      <c r="D43" s="5" t="s">
        <v>4044</v>
      </c>
      <c r="E43" s="5" t="s">
        <v>4008</v>
      </c>
      <c r="F43" s="5" t="s">
        <v>6595</v>
      </c>
      <c r="G43" s="8">
        <v>1</v>
      </c>
      <c r="H43" s="8">
        <v>1</v>
      </c>
      <c r="I43" s="5" t="s">
        <v>6596</v>
      </c>
    </row>
    <row r="44" spans="1:9" ht="57" customHeight="1" x14ac:dyDescent="0.2">
      <c r="A44" s="5" t="s">
        <v>6617</v>
      </c>
      <c r="B44" s="5" t="s">
        <v>264</v>
      </c>
      <c r="C44" s="5" t="s">
        <v>6617</v>
      </c>
      <c r="D44" s="5" t="s">
        <v>4044</v>
      </c>
      <c r="E44" s="5" t="s">
        <v>4012</v>
      </c>
      <c r="F44" s="5" t="s">
        <v>6595</v>
      </c>
      <c r="G44" s="8">
        <v>1</v>
      </c>
      <c r="H44" s="8">
        <v>1</v>
      </c>
      <c r="I44" s="5" t="s">
        <v>6596</v>
      </c>
    </row>
    <row r="45" spans="1:9" ht="57" customHeight="1" x14ac:dyDescent="0.2">
      <c r="A45" s="5" t="s">
        <v>6618</v>
      </c>
      <c r="B45" s="5" t="s">
        <v>264</v>
      </c>
      <c r="C45" s="5" t="s">
        <v>6618</v>
      </c>
      <c r="D45" s="5" t="s">
        <v>4044</v>
      </c>
      <c r="E45" s="5" t="s">
        <v>4016</v>
      </c>
      <c r="F45" s="5" t="s">
        <v>6595</v>
      </c>
      <c r="G45" s="8">
        <v>1</v>
      </c>
      <c r="H45" s="8">
        <v>1</v>
      </c>
      <c r="I45" s="5" t="s">
        <v>6596</v>
      </c>
    </row>
    <row r="46" spans="1:9" ht="57" customHeight="1" x14ac:dyDescent="0.2">
      <c r="A46" s="5" t="s">
        <v>6619</v>
      </c>
      <c r="B46" s="5" t="s">
        <v>264</v>
      </c>
      <c r="C46" s="5" t="s">
        <v>6619</v>
      </c>
      <c r="D46" s="5" t="s">
        <v>4044</v>
      </c>
      <c r="E46" s="5" t="s">
        <v>4048</v>
      </c>
      <c r="F46" s="5" t="s">
        <v>6595</v>
      </c>
      <c r="G46" s="8">
        <v>1</v>
      </c>
      <c r="H46" s="8">
        <v>1</v>
      </c>
      <c r="I46" s="5" t="s">
        <v>6596</v>
      </c>
    </row>
    <row r="47" spans="1:9" ht="57" customHeight="1" x14ac:dyDescent="0.2">
      <c r="A47" s="5" t="s">
        <v>6620</v>
      </c>
      <c r="B47" s="5" t="s">
        <v>264</v>
      </c>
      <c r="C47" s="5" t="s">
        <v>6620</v>
      </c>
      <c r="D47" s="5" t="s">
        <v>4052</v>
      </c>
      <c r="E47" s="5" t="s">
        <v>3997</v>
      </c>
      <c r="F47" s="5" t="s">
        <v>6595</v>
      </c>
      <c r="G47" s="8">
        <v>1</v>
      </c>
      <c r="H47" s="8">
        <v>1</v>
      </c>
      <c r="I47" s="5" t="s">
        <v>6596</v>
      </c>
    </row>
    <row r="48" spans="1:9" ht="57" customHeight="1" x14ac:dyDescent="0.2">
      <c r="A48" s="5" t="s">
        <v>6621</v>
      </c>
      <c r="B48" s="5" t="s">
        <v>264</v>
      </c>
      <c r="C48" s="5" t="s">
        <v>6621</v>
      </c>
      <c r="D48" s="5" t="s">
        <v>4052</v>
      </c>
      <c r="E48" s="5" t="s">
        <v>4001</v>
      </c>
      <c r="F48" s="5" t="s">
        <v>6595</v>
      </c>
      <c r="G48" s="8">
        <v>1</v>
      </c>
      <c r="H48" s="8">
        <v>1</v>
      </c>
      <c r="I48" s="5" t="s">
        <v>6596</v>
      </c>
    </row>
    <row r="49" spans="1:9" ht="57" customHeight="1" x14ac:dyDescent="0.2">
      <c r="A49" s="5" t="s">
        <v>6622</v>
      </c>
      <c r="B49" s="5" t="s">
        <v>264</v>
      </c>
      <c r="C49" s="5" t="s">
        <v>6622</v>
      </c>
      <c r="D49" s="5" t="s">
        <v>4052</v>
      </c>
      <c r="E49" s="5" t="s">
        <v>4004</v>
      </c>
      <c r="F49" s="5" t="s">
        <v>6595</v>
      </c>
      <c r="G49" s="8">
        <v>1</v>
      </c>
      <c r="H49" s="8">
        <v>1</v>
      </c>
      <c r="I49" s="5" t="s">
        <v>6596</v>
      </c>
    </row>
    <row r="50" spans="1:9" ht="57" customHeight="1" x14ac:dyDescent="0.2">
      <c r="A50" s="5" t="s">
        <v>6623</v>
      </c>
      <c r="B50" s="5" t="s">
        <v>264</v>
      </c>
      <c r="C50" s="5" t="s">
        <v>6623</v>
      </c>
      <c r="D50" s="5" t="s">
        <v>4052</v>
      </c>
      <c r="E50" s="5" t="s">
        <v>4008</v>
      </c>
      <c r="F50" s="5" t="s">
        <v>6595</v>
      </c>
      <c r="G50" s="8">
        <v>1</v>
      </c>
      <c r="H50" s="8">
        <v>1</v>
      </c>
      <c r="I50" s="5" t="s">
        <v>6596</v>
      </c>
    </row>
    <row r="51" spans="1:9" ht="57" customHeight="1" x14ac:dyDescent="0.2">
      <c r="A51" s="5" t="s">
        <v>6624</v>
      </c>
      <c r="B51" s="5" t="s">
        <v>264</v>
      </c>
      <c r="C51" s="5" t="s">
        <v>6624</v>
      </c>
      <c r="D51" s="5" t="s">
        <v>4052</v>
      </c>
      <c r="E51" s="5" t="s">
        <v>4012</v>
      </c>
      <c r="F51" s="5" t="s">
        <v>6595</v>
      </c>
      <c r="G51" s="8">
        <v>1</v>
      </c>
      <c r="H51" s="8">
        <v>1</v>
      </c>
      <c r="I51" s="5" t="s">
        <v>6596</v>
      </c>
    </row>
    <row r="52" spans="1:9" ht="57" customHeight="1" x14ac:dyDescent="0.2">
      <c r="A52" s="5" t="s">
        <v>6625</v>
      </c>
      <c r="B52" s="5" t="s">
        <v>264</v>
      </c>
      <c r="C52" s="5" t="s">
        <v>6625</v>
      </c>
      <c r="D52" s="5" t="s">
        <v>4052</v>
      </c>
      <c r="E52" s="5" t="s">
        <v>4016</v>
      </c>
      <c r="F52" s="5" t="s">
        <v>6595</v>
      </c>
      <c r="G52" s="8">
        <v>1</v>
      </c>
      <c r="H52" s="8">
        <v>1</v>
      </c>
      <c r="I52" s="5" t="s">
        <v>6596</v>
      </c>
    </row>
    <row r="53" spans="1:9" ht="57" customHeight="1" x14ac:dyDescent="0.2">
      <c r="A53" s="5" t="s">
        <v>6626</v>
      </c>
      <c r="B53" s="5" t="s">
        <v>264</v>
      </c>
      <c r="C53" s="5" t="s">
        <v>6626</v>
      </c>
      <c r="D53" s="5" t="s">
        <v>4052</v>
      </c>
      <c r="E53" s="5" t="s">
        <v>4056</v>
      </c>
      <c r="F53" s="5" t="s">
        <v>6595</v>
      </c>
      <c r="G53" s="8">
        <v>1</v>
      </c>
      <c r="H53" s="8">
        <v>1</v>
      </c>
      <c r="I53" s="5" t="s">
        <v>6596</v>
      </c>
    </row>
    <row r="54" spans="1:9" ht="57" customHeight="1" x14ac:dyDescent="0.2">
      <c r="A54" s="5" t="s">
        <v>6627</v>
      </c>
      <c r="B54" s="5" t="s">
        <v>264</v>
      </c>
      <c r="C54" s="5" t="s">
        <v>6627</v>
      </c>
      <c r="D54" s="5" t="s">
        <v>4060</v>
      </c>
      <c r="E54" s="5" t="s">
        <v>3997</v>
      </c>
      <c r="F54" s="5" t="s">
        <v>6595</v>
      </c>
      <c r="G54" s="8">
        <v>1</v>
      </c>
      <c r="H54" s="8">
        <v>1</v>
      </c>
      <c r="I54" s="5" t="s">
        <v>6596</v>
      </c>
    </row>
    <row r="55" spans="1:9" ht="57" customHeight="1" x14ac:dyDescent="0.2">
      <c r="A55" s="5" t="s">
        <v>6628</v>
      </c>
      <c r="B55" s="5" t="s">
        <v>264</v>
      </c>
      <c r="C55" s="5" t="s">
        <v>6628</v>
      </c>
      <c r="D55" s="5" t="s">
        <v>4060</v>
      </c>
      <c r="E55" s="5" t="s">
        <v>4004</v>
      </c>
      <c r="F55" s="5" t="s">
        <v>6595</v>
      </c>
      <c r="G55" s="8">
        <v>1</v>
      </c>
      <c r="H55" s="8">
        <v>1</v>
      </c>
      <c r="I55" s="5" t="s">
        <v>6596</v>
      </c>
    </row>
    <row r="56" spans="1:9" ht="57" customHeight="1" x14ac:dyDescent="0.2">
      <c r="A56" s="5" t="s">
        <v>6629</v>
      </c>
      <c r="B56" s="5" t="s">
        <v>264</v>
      </c>
      <c r="C56" s="5" t="s">
        <v>6629</v>
      </c>
      <c r="D56" s="5" t="s">
        <v>4060</v>
      </c>
      <c r="E56" s="5" t="s">
        <v>4008</v>
      </c>
      <c r="F56" s="5" t="s">
        <v>6595</v>
      </c>
      <c r="G56" s="8">
        <v>1</v>
      </c>
      <c r="H56" s="8">
        <v>1</v>
      </c>
      <c r="I56" s="5" t="s">
        <v>6596</v>
      </c>
    </row>
    <row r="57" spans="1:9" ht="57" customHeight="1" x14ac:dyDescent="0.2">
      <c r="A57" s="5" t="s">
        <v>6630</v>
      </c>
      <c r="B57" s="5" t="s">
        <v>264</v>
      </c>
      <c r="C57" s="5" t="s">
        <v>6630</v>
      </c>
      <c r="D57" s="5" t="s">
        <v>4060</v>
      </c>
      <c r="E57" s="5" t="s">
        <v>4012</v>
      </c>
      <c r="F57" s="5" t="s">
        <v>6595</v>
      </c>
      <c r="G57" s="8">
        <v>1</v>
      </c>
      <c r="H57" s="8">
        <v>1</v>
      </c>
      <c r="I57" s="5" t="s">
        <v>6596</v>
      </c>
    </row>
    <row r="58" spans="1:9" ht="57" customHeight="1" x14ac:dyDescent="0.2">
      <c r="A58" s="5" t="s">
        <v>6631</v>
      </c>
      <c r="B58" s="5" t="s">
        <v>264</v>
      </c>
      <c r="C58" s="5" t="s">
        <v>6631</v>
      </c>
      <c r="D58" s="5" t="s">
        <v>4060</v>
      </c>
      <c r="E58" s="5" t="s">
        <v>4016</v>
      </c>
      <c r="F58" s="5" t="s">
        <v>6595</v>
      </c>
      <c r="G58" s="8">
        <v>1</v>
      </c>
      <c r="H58" s="8">
        <v>1</v>
      </c>
      <c r="I58" s="5" t="s">
        <v>6596</v>
      </c>
    </row>
    <row r="59" spans="1:9" ht="57" customHeight="1" x14ac:dyDescent="0.2">
      <c r="A59" s="5" t="s">
        <v>6632</v>
      </c>
      <c r="B59" s="5" t="s">
        <v>264</v>
      </c>
      <c r="C59" s="5" t="s">
        <v>6632</v>
      </c>
      <c r="D59" s="5" t="s">
        <v>4060</v>
      </c>
      <c r="E59" s="5" t="s">
        <v>4064</v>
      </c>
      <c r="F59" s="5" t="s">
        <v>6595</v>
      </c>
      <c r="G59" s="8">
        <v>1</v>
      </c>
      <c r="H59" s="8">
        <v>1</v>
      </c>
      <c r="I59" s="5" t="s">
        <v>6596</v>
      </c>
    </row>
    <row r="60" spans="1:9" ht="57" customHeight="1" x14ac:dyDescent="0.2">
      <c r="A60" s="5" t="s">
        <v>6633</v>
      </c>
      <c r="B60" s="5" t="s">
        <v>264</v>
      </c>
      <c r="C60" s="5" t="s">
        <v>6633</v>
      </c>
      <c r="D60" s="5" t="s">
        <v>4068</v>
      </c>
      <c r="E60" s="5" t="s">
        <v>3997</v>
      </c>
      <c r="F60" s="5" t="s">
        <v>6595</v>
      </c>
      <c r="G60" s="8">
        <v>1</v>
      </c>
      <c r="H60" s="8">
        <v>1</v>
      </c>
      <c r="I60" s="5" t="s">
        <v>6596</v>
      </c>
    </row>
    <row r="61" spans="1:9" ht="57" customHeight="1" x14ac:dyDescent="0.2">
      <c r="A61" s="5" t="s">
        <v>6634</v>
      </c>
      <c r="B61" s="5" t="s">
        <v>264</v>
      </c>
      <c r="C61" s="5" t="s">
        <v>6634</v>
      </c>
      <c r="D61" s="5" t="s">
        <v>4068</v>
      </c>
      <c r="E61" s="5" t="s">
        <v>4004</v>
      </c>
      <c r="F61" s="5" t="s">
        <v>6595</v>
      </c>
      <c r="G61" s="8">
        <v>1</v>
      </c>
      <c r="H61" s="8">
        <v>1</v>
      </c>
      <c r="I61" s="5" t="s">
        <v>6596</v>
      </c>
    </row>
    <row r="62" spans="1:9" ht="57" customHeight="1" x14ac:dyDescent="0.2">
      <c r="A62" s="5" t="s">
        <v>6635</v>
      </c>
      <c r="B62" s="5" t="s">
        <v>264</v>
      </c>
      <c r="C62" s="5" t="s">
        <v>6635</v>
      </c>
      <c r="D62" s="5" t="s">
        <v>4068</v>
      </c>
      <c r="E62" s="5" t="s">
        <v>4008</v>
      </c>
      <c r="F62" s="5" t="s">
        <v>6595</v>
      </c>
      <c r="G62" s="8">
        <v>1</v>
      </c>
      <c r="H62" s="8">
        <v>1</v>
      </c>
      <c r="I62" s="5" t="s">
        <v>6596</v>
      </c>
    </row>
    <row r="63" spans="1:9" ht="57" customHeight="1" x14ac:dyDescent="0.2">
      <c r="A63" s="5" t="s">
        <v>6636</v>
      </c>
      <c r="B63" s="5" t="s">
        <v>264</v>
      </c>
      <c r="C63" s="5" t="s">
        <v>6636</v>
      </c>
      <c r="D63" s="5" t="s">
        <v>4068</v>
      </c>
      <c r="E63" s="5" t="s">
        <v>4012</v>
      </c>
      <c r="F63" s="5" t="s">
        <v>6595</v>
      </c>
      <c r="G63" s="8">
        <v>1</v>
      </c>
      <c r="H63" s="8">
        <v>1</v>
      </c>
      <c r="I63" s="5" t="s">
        <v>6596</v>
      </c>
    </row>
    <row r="64" spans="1:9" ht="57" customHeight="1" x14ac:dyDescent="0.2">
      <c r="A64" s="5" t="s">
        <v>6637</v>
      </c>
      <c r="B64" s="5" t="s">
        <v>264</v>
      </c>
      <c r="C64" s="5" t="s">
        <v>6637</v>
      </c>
      <c r="D64" s="5" t="s">
        <v>4068</v>
      </c>
      <c r="E64" s="5" t="s">
        <v>4016</v>
      </c>
      <c r="F64" s="5" t="s">
        <v>6595</v>
      </c>
      <c r="G64" s="8">
        <v>1</v>
      </c>
      <c r="H64" s="8">
        <v>1</v>
      </c>
      <c r="I64" s="5" t="s">
        <v>6596</v>
      </c>
    </row>
    <row r="65" spans="1:9" ht="57" customHeight="1" x14ac:dyDescent="0.2">
      <c r="A65" s="5" t="s">
        <v>6638</v>
      </c>
      <c r="B65" s="5" t="s">
        <v>264</v>
      </c>
      <c r="C65" s="5" t="s">
        <v>6638</v>
      </c>
      <c r="D65" s="5" t="s">
        <v>4068</v>
      </c>
      <c r="E65" s="5" t="s">
        <v>4072</v>
      </c>
      <c r="F65" s="5" t="s">
        <v>6595</v>
      </c>
      <c r="G65" s="8">
        <v>1</v>
      </c>
      <c r="H65" s="8">
        <v>1</v>
      </c>
      <c r="I65" s="5" t="s">
        <v>6596</v>
      </c>
    </row>
  </sheetData>
  <dataValidations count="3">
    <dataValidation type="list" sqref="D7:D1200" xr:uid="{00000000-0002-0000-1800-000000000000}">
      <formula1>og_list_14</formula1>
    </dataValidation>
    <dataValidation type="list" sqref="E7:E1200" xr:uid="{00000000-0002-0000-1800-000001000000}">
      <formula1>og_list_22</formula1>
    </dataValidation>
    <dataValidation type="whole" sqref="G7:H1200" xr:uid="{00000000-0002-0000-1800-000002000000}">
      <formula1>0</formula1>
      <formula2>1000000</formula2>
    </dataValidation>
  </dataValidations>
  <pageMargins left="0.7" right="0.7" top="0.75" bottom="0.75" header="0.3" footer="0.3"/>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67E8F9"/>
  </sheetPr>
  <dimension ref="A1:I35"/>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7" width="34.03125" customWidth="1"/>
    <col min="8" max="9" width="48.0234375" customWidth="1"/>
  </cols>
  <sheetData>
    <row r="1" spans="1:9" ht="40.5" x14ac:dyDescent="0.25">
      <c r="A1" s="3" t="s">
        <v>6639</v>
      </c>
      <c r="B1" s="2"/>
      <c r="C1" s="2"/>
      <c r="D1" s="2"/>
      <c r="E1" s="2"/>
      <c r="F1" s="2"/>
      <c r="G1" s="2"/>
      <c r="H1" s="2"/>
      <c r="I1" s="2"/>
    </row>
    <row r="2" spans="1:9" x14ac:dyDescent="0.2">
      <c r="A2" s="2" t="str">
        <f>HYPERLINK("#'Home'!A1","Home")</f>
        <v>Home</v>
      </c>
      <c r="B2" s="2" t="str">
        <f>HYPERLINK("#'Reader'!A1","Read a record")</f>
        <v>Read a record</v>
      </c>
      <c r="C2" s="2"/>
      <c r="D2" s="2"/>
      <c r="E2" s="2"/>
      <c r="F2" s="2"/>
      <c r="G2" s="2"/>
      <c r="H2" s="2"/>
      <c r="I2" s="2"/>
    </row>
    <row r="3" spans="1:9" ht="45.95" customHeight="1" x14ac:dyDescent="0.2">
      <c r="A3" s="2" t="s">
        <v>2241</v>
      </c>
      <c r="B3" s="2"/>
      <c r="C3" s="2"/>
      <c r="D3" s="2"/>
      <c r="E3" s="2"/>
      <c r="F3" s="2"/>
      <c r="G3" s="2"/>
      <c r="H3" s="2"/>
      <c r="I3" s="2"/>
    </row>
    <row r="4" spans="1:9" ht="16.5" x14ac:dyDescent="0.2">
      <c r="A4" s="4" t="str">
        <f>HYPERLINK("#'Field Dictionary'!A270","📎🔗 - 1 - SHORT TEXT")</f>
        <v>📎🔗 - 1 - SHORT TEXT</v>
      </c>
      <c r="B4" s="4" t="str">
        <f>HYPERLINK("#'Field Dictionary'!A271","📎🔗 - 2 - LONG TEXT")</f>
        <v>📎🔗 - 2 - LONG TEXT</v>
      </c>
      <c r="C4" s="4" t="str">
        <f>HYPERLINK("#'Field Dictionary'!A272","📎🔗 - 3 - SHORT TEXT")</f>
        <v>📎🔗 - 3 - SHORT TEXT</v>
      </c>
      <c r="D4" s="4" t="str">
        <f>HYPERLINK("#'Field Dictionary'!A273","📎🔗 - 4 - LINKED RECORD")</f>
        <v>📎🔗 - 4 - LINKED RECORD</v>
      </c>
      <c r="E4" s="4" t="str">
        <f>HYPERLINK("#'Field Dictionary'!A274","📎🔗 - 5 - LINKED RECORD")</f>
        <v>📎🔗 - 5 - LINKED RECORD</v>
      </c>
      <c r="F4" s="4" t="str">
        <f>HYPERLINK("#'Field Dictionary'!A275","📎🔗 - 6 - SINGLE SELECT")</f>
        <v>📎🔗 - 6 - SINGLE SELECT</v>
      </c>
      <c r="G4" s="4" t="str">
        <f>HYPERLINK("#'Field Dictionary'!A276","📎🔗 - 7 - LINKED RECORDS")</f>
        <v>📎🔗 - 7 - LINKED RECORDS</v>
      </c>
      <c r="H4" s="4" t="str">
        <f>HYPERLINK("#'Field Dictionary'!A277","📎🔗 - 8 - LONG TEXT")</f>
        <v>📎🔗 - 8 - LONG TEXT</v>
      </c>
      <c r="I4" s="4" t="str">
        <f>HYPERLINK("#'Field Dictionary'!A278","📎🔗 - 9 - LONG TEXT")</f>
        <v>📎🔗 - 9 - LONG TEXT</v>
      </c>
    </row>
    <row r="5" spans="1:9" ht="38.1" customHeight="1" x14ac:dyDescent="0.2">
      <c r="A5" s="7" t="s">
        <v>100</v>
      </c>
      <c r="B5" s="7" t="s">
        <v>101</v>
      </c>
      <c r="C5" s="7" t="s">
        <v>102</v>
      </c>
      <c r="D5" s="7" t="s">
        <v>6640</v>
      </c>
      <c r="E5" s="7" t="s">
        <v>6641</v>
      </c>
      <c r="F5" s="7" t="s">
        <v>6642</v>
      </c>
      <c r="G5" s="7" t="s">
        <v>6643</v>
      </c>
      <c r="H5" s="7" t="s">
        <v>6644</v>
      </c>
      <c r="I5" s="7" t="s">
        <v>6645</v>
      </c>
    </row>
    <row r="6" spans="1:9" ht="38.1" customHeight="1" x14ac:dyDescent="0.2">
      <c r="A6" s="7" t="s">
        <v>115</v>
      </c>
      <c r="B6" s="7" t="s">
        <v>116</v>
      </c>
      <c r="C6" s="7" t="s">
        <v>117</v>
      </c>
      <c r="D6" s="7" t="s">
        <v>6213</v>
      </c>
      <c r="E6" s="7" t="s">
        <v>6216</v>
      </c>
      <c r="F6" s="7" t="s">
        <v>6219</v>
      </c>
      <c r="G6" s="7" t="s">
        <v>6223</v>
      </c>
      <c r="H6" s="7" t="s">
        <v>6226</v>
      </c>
      <c r="I6" s="7" t="s">
        <v>6229</v>
      </c>
    </row>
    <row r="7" spans="1:9" ht="50.1" customHeight="1" x14ac:dyDescent="0.2">
      <c r="A7" s="5" t="s">
        <v>6646</v>
      </c>
      <c r="B7" s="5" t="s">
        <v>2241</v>
      </c>
      <c r="C7" s="5" t="s">
        <v>6646</v>
      </c>
      <c r="D7" s="5" t="s">
        <v>3588</v>
      </c>
      <c r="E7" s="5" t="s">
        <v>3583</v>
      </c>
      <c r="F7" s="5" t="s">
        <v>6647</v>
      </c>
      <c r="G7" s="5" t="s">
        <v>6648</v>
      </c>
      <c r="H7" s="5" t="s">
        <v>6649</v>
      </c>
      <c r="I7" s="5" t="s">
        <v>6650</v>
      </c>
    </row>
    <row r="8" spans="1:9" ht="50.1" customHeight="1" x14ac:dyDescent="0.2">
      <c r="A8" s="5" t="s">
        <v>6651</v>
      </c>
      <c r="B8" s="5" t="s">
        <v>2241</v>
      </c>
      <c r="C8" s="5" t="s">
        <v>6651</v>
      </c>
      <c r="D8" s="5" t="s">
        <v>3597</v>
      </c>
      <c r="E8" s="5" t="s">
        <v>3592</v>
      </c>
      <c r="F8" s="5" t="s">
        <v>6647</v>
      </c>
      <c r="G8" s="5" t="s">
        <v>6652</v>
      </c>
      <c r="H8" s="5" t="s">
        <v>6649</v>
      </c>
      <c r="I8" s="5" t="s">
        <v>6650</v>
      </c>
    </row>
    <row r="9" spans="1:9" ht="50.1" customHeight="1" x14ac:dyDescent="0.2">
      <c r="A9" s="5" t="s">
        <v>6653</v>
      </c>
      <c r="B9" s="5" t="s">
        <v>2241</v>
      </c>
      <c r="C9" s="5" t="s">
        <v>6653</v>
      </c>
      <c r="D9" s="5" t="s">
        <v>3622</v>
      </c>
      <c r="E9" s="5" t="s">
        <v>3618</v>
      </c>
      <c r="F9" s="5" t="s">
        <v>6647</v>
      </c>
      <c r="G9" s="5" t="s">
        <v>6654</v>
      </c>
      <c r="H9" s="5" t="s">
        <v>6649</v>
      </c>
      <c r="I9" s="5" t="s">
        <v>6650</v>
      </c>
    </row>
    <row r="10" spans="1:9" ht="50.1" customHeight="1" x14ac:dyDescent="0.2">
      <c r="A10" s="5" t="s">
        <v>6655</v>
      </c>
      <c r="B10" s="5" t="s">
        <v>2241</v>
      </c>
      <c r="C10" s="5" t="s">
        <v>6655</v>
      </c>
      <c r="D10" s="5" t="s">
        <v>3630</v>
      </c>
      <c r="E10" s="5" t="s">
        <v>3626</v>
      </c>
      <c r="F10" s="5" t="s">
        <v>6647</v>
      </c>
      <c r="G10" s="5" t="s">
        <v>6656</v>
      </c>
      <c r="H10" s="5" t="s">
        <v>6649</v>
      </c>
      <c r="I10" s="5" t="s">
        <v>6650</v>
      </c>
    </row>
    <row r="11" spans="1:9" ht="50.1" customHeight="1" x14ac:dyDescent="0.2">
      <c r="A11" s="5" t="s">
        <v>6657</v>
      </c>
      <c r="B11" s="5" t="s">
        <v>2241</v>
      </c>
      <c r="C11" s="5" t="s">
        <v>6657</v>
      </c>
      <c r="D11" s="5" t="s">
        <v>3654</v>
      </c>
      <c r="E11" s="5" t="s">
        <v>3650</v>
      </c>
      <c r="F11" s="5" t="s">
        <v>6647</v>
      </c>
      <c r="G11" s="5" t="s">
        <v>6658</v>
      </c>
      <c r="H11" s="5" t="s">
        <v>6649</v>
      </c>
      <c r="I11" s="5" t="s">
        <v>6650</v>
      </c>
    </row>
    <row r="12" spans="1:9" ht="50.1" customHeight="1" x14ac:dyDescent="0.2">
      <c r="A12" s="5" t="s">
        <v>6659</v>
      </c>
      <c r="B12" s="5" t="s">
        <v>2241</v>
      </c>
      <c r="C12" s="5" t="s">
        <v>6659</v>
      </c>
      <c r="D12" s="5" t="s">
        <v>3662</v>
      </c>
      <c r="E12" s="5" t="s">
        <v>3658</v>
      </c>
      <c r="F12" s="5" t="s">
        <v>6647</v>
      </c>
      <c r="G12" s="5" t="s">
        <v>6660</v>
      </c>
      <c r="H12" s="5" t="s">
        <v>6649</v>
      </c>
      <c r="I12" s="5" t="s">
        <v>6650</v>
      </c>
    </row>
    <row r="13" spans="1:9" ht="50.1" customHeight="1" x14ac:dyDescent="0.2">
      <c r="A13" s="5" t="s">
        <v>6661</v>
      </c>
      <c r="B13" s="5" t="s">
        <v>2241</v>
      </c>
      <c r="C13" s="5" t="s">
        <v>6661</v>
      </c>
      <c r="D13" s="5" t="s">
        <v>3686</v>
      </c>
      <c r="E13" s="5" t="s">
        <v>3682</v>
      </c>
      <c r="F13" s="5" t="s">
        <v>6647</v>
      </c>
      <c r="G13" s="5" t="s">
        <v>6662</v>
      </c>
      <c r="H13" s="5" t="s">
        <v>6649</v>
      </c>
      <c r="I13" s="5" t="s">
        <v>6650</v>
      </c>
    </row>
    <row r="14" spans="1:9" ht="50.1" customHeight="1" x14ac:dyDescent="0.2">
      <c r="A14" s="5" t="s">
        <v>6663</v>
      </c>
      <c r="B14" s="5" t="s">
        <v>2241</v>
      </c>
      <c r="C14" s="5" t="s">
        <v>6663</v>
      </c>
      <c r="D14" s="5" t="s">
        <v>3694</v>
      </c>
      <c r="E14" s="5" t="s">
        <v>3690</v>
      </c>
      <c r="F14" s="5" t="s">
        <v>6647</v>
      </c>
      <c r="G14" s="5" t="s">
        <v>6664</v>
      </c>
      <c r="H14" s="5" t="s">
        <v>6649</v>
      </c>
      <c r="I14" s="5" t="s">
        <v>6650</v>
      </c>
    </row>
    <row r="15" spans="1:9" ht="50.1" customHeight="1" x14ac:dyDescent="0.2">
      <c r="A15" s="5" t="s">
        <v>6665</v>
      </c>
      <c r="B15" s="5" t="s">
        <v>2241</v>
      </c>
      <c r="C15" s="5" t="s">
        <v>6665</v>
      </c>
      <c r="D15" s="5" t="s">
        <v>3718</v>
      </c>
      <c r="E15" s="5" t="s">
        <v>3714</v>
      </c>
      <c r="F15" s="5" t="s">
        <v>6647</v>
      </c>
      <c r="G15" s="5" t="s">
        <v>6666</v>
      </c>
      <c r="H15" s="5" t="s">
        <v>6649</v>
      </c>
      <c r="I15" s="5" t="s">
        <v>6650</v>
      </c>
    </row>
    <row r="16" spans="1:9" ht="50.1" customHeight="1" x14ac:dyDescent="0.2">
      <c r="A16" s="5" t="s">
        <v>6667</v>
      </c>
      <c r="B16" s="5" t="s">
        <v>2241</v>
      </c>
      <c r="C16" s="5" t="s">
        <v>6667</v>
      </c>
      <c r="D16" s="5" t="s">
        <v>3726</v>
      </c>
      <c r="E16" s="5" t="s">
        <v>3722</v>
      </c>
      <c r="F16" s="5" t="s">
        <v>6647</v>
      </c>
      <c r="G16" s="5" t="s">
        <v>6668</v>
      </c>
      <c r="H16" s="5" t="s">
        <v>6649</v>
      </c>
      <c r="I16" s="5" t="s">
        <v>6650</v>
      </c>
    </row>
    <row r="17" spans="1:9" ht="50.1" customHeight="1" x14ac:dyDescent="0.2">
      <c r="A17" s="5" t="s">
        <v>6669</v>
      </c>
      <c r="B17" s="5" t="s">
        <v>2241</v>
      </c>
      <c r="C17" s="5" t="s">
        <v>6669</v>
      </c>
      <c r="D17" s="5" t="s">
        <v>3750</v>
      </c>
      <c r="E17" s="5" t="s">
        <v>3746</v>
      </c>
      <c r="F17" s="5" t="s">
        <v>6647</v>
      </c>
      <c r="G17" s="5" t="s">
        <v>6670</v>
      </c>
      <c r="H17" s="5" t="s">
        <v>6649</v>
      </c>
      <c r="I17" s="5" t="s">
        <v>6650</v>
      </c>
    </row>
    <row r="18" spans="1:9" ht="50.1" customHeight="1" x14ac:dyDescent="0.2">
      <c r="A18" s="5" t="s">
        <v>6671</v>
      </c>
      <c r="B18" s="5" t="s">
        <v>2241</v>
      </c>
      <c r="C18" s="5" t="s">
        <v>6671</v>
      </c>
      <c r="D18" s="5" t="s">
        <v>3758</v>
      </c>
      <c r="E18" s="5" t="s">
        <v>3754</v>
      </c>
      <c r="F18" s="5" t="s">
        <v>6647</v>
      </c>
      <c r="G18" s="5" t="s">
        <v>6672</v>
      </c>
      <c r="H18" s="5" t="s">
        <v>6649</v>
      </c>
      <c r="I18" s="5" t="s">
        <v>6650</v>
      </c>
    </row>
    <row r="19" spans="1:9" ht="50.1" customHeight="1" x14ac:dyDescent="0.2">
      <c r="A19" s="5" t="s">
        <v>6673</v>
      </c>
      <c r="B19" s="5" t="s">
        <v>2241</v>
      </c>
      <c r="C19" s="5" t="s">
        <v>6673</v>
      </c>
      <c r="D19" s="5" t="s">
        <v>3782</v>
      </c>
      <c r="E19" s="5" t="s">
        <v>3778</v>
      </c>
      <c r="F19" s="5" t="s">
        <v>6647</v>
      </c>
      <c r="G19" s="5" t="s">
        <v>6674</v>
      </c>
      <c r="H19" s="5" t="s">
        <v>6649</v>
      </c>
      <c r="I19" s="5" t="s">
        <v>6650</v>
      </c>
    </row>
    <row r="20" spans="1:9" ht="50.1" customHeight="1" x14ac:dyDescent="0.2">
      <c r="A20" s="5" t="s">
        <v>6675</v>
      </c>
      <c r="B20" s="5" t="s">
        <v>2241</v>
      </c>
      <c r="C20" s="5" t="s">
        <v>6675</v>
      </c>
      <c r="D20" s="5" t="s">
        <v>3790</v>
      </c>
      <c r="E20" s="5" t="s">
        <v>3786</v>
      </c>
      <c r="F20" s="5" t="s">
        <v>6647</v>
      </c>
      <c r="G20" s="5" t="s">
        <v>6676</v>
      </c>
      <c r="H20" s="5" t="s">
        <v>6649</v>
      </c>
      <c r="I20" s="5" t="s">
        <v>6650</v>
      </c>
    </row>
    <row r="21" spans="1:9" ht="50.1" customHeight="1" x14ac:dyDescent="0.2">
      <c r="A21" s="5" t="s">
        <v>6677</v>
      </c>
      <c r="B21" s="5" t="s">
        <v>2241</v>
      </c>
      <c r="C21" s="5" t="s">
        <v>6677</v>
      </c>
      <c r="D21" s="5" t="s">
        <v>3814</v>
      </c>
      <c r="E21" s="5" t="s">
        <v>3810</v>
      </c>
      <c r="F21" s="5" t="s">
        <v>6647</v>
      </c>
      <c r="G21" s="5" t="s">
        <v>6678</v>
      </c>
      <c r="H21" s="5" t="s">
        <v>6649</v>
      </c>
      <c r="I21" s="5" t="s">
        <v>6650</v>
      </c>
    </row>
    <row r="22" spans="1:9" ht="50.1" customHeight="1" x14ac:dyDescent="0.2">
      <c r="A22" s="5" t="s">
        <v>6679</v>
      </c>
      <c r="B22" s="5" t="s">
        <v>2241</v>
      </c>
      <c r="C22" s="5" t="s">
        <v>6679</v>
      </c>
      <c r="D22" s="5" t="s">
        <v>3822</v>
      </c>
      <c r="E22" s="5" t="s">
        <v>3818</v>
      </c>
      <c r="F22" s="5" t="s">
        <v>6647</v>
      </c>
      <c r="G22" s="5" t="s">
        <v>6680</v>
      </c>
      <c r="H22" s="5" t="s">
        <v>6649</v>
      </c>
      <c r="I22" s="5" t="s">
        <v>6650</v>
      </c>
    </row>
    <row r="23" spans="1:9" ht="50.1" customHeight="1" x14ac:dyDescent="0.2">
      <c r="A23" s="5" t="s">
        <v>6681</v>
      </c>
      <c r="B23" s="5" t="s">
        <v>264</v>
      </c>
      <c r="C23" s="5" t="s">
        <v>6681</v>
      </c>
      <c r="D23" s="5" t="s">
        <v>3997</v>
      </c>
      <c r="E23" s="5" t="s">
        <v>4076</v>
      </c>
      <c r="F23" s="5" t="s">
        <v>6647</v>
      </c>
      <c r="G23" s="5" t="s">
        <v>6682</v>
      </c>
      <c r="H23" s="5" t="s">
        <v>6683</v>
      </c>
      <c r="I23" s="5" t="s">
        <v>6684</v>
      </c>
    </row>
    <row r="24" spans="1:9" ht="50.1" customHeight="1" x14ac:dyDescent="0.2">
      <c r="A24" s="5" t="s">
        <v>6685</v>
      </c>
      <c r="B24" s="5" t="s">
        <v>264</v>
      </c>
      <c r="C24" s="5" t="s">
        <v>6685</v>
      </c>
      <c r="D24" s="5" t="s">
        <v>4001</v>
      </c>
      <c r="E24" s="5" t="s">
        <v>4080</v>
      </c>
      <c r="F24" s="5" t="s">
        <v>6647</v>
      </c>
      <c r="G24" s="5" t="s">
        <v>6686</v>
      </c>
      <c r="H24" s="5" t="s">
        <v>6683</v>
      </c>
      <c r="I24" s="5" t="s">
        <v>6684</v>
      </c>
    </row>
    <row r="25" spans="1:9" ht="50.1" customHeight="1" x14ac:dyDescent="0.2">
      <c r="A25" s="5" t="s">
        <v>6687</v>
      </c>
      <c r="B25" s="5" t="s">
        <v>264</v>
      </c>
      <c r="C25" s="5" t="s">
        <v>6687</v>
      </c>
      <c r="D25" s="5" t="s">
        <v>4012</v>
      </c>
      <c r="E25" s="5" t="s">
        <v>4084</v>
      </c>
      <c r="F25" s="5" t="s">
        <v>6647</v>
      </c>
      <c r="G25" s="5" t="s">
        <v>6688</v>
      </c>
      <c r="H25" s="5" t="s">
        <v>6683</v>
      </c>
      <c r="I25" s="5" t="s">
        <v>6684</v>
      </c>
    </row>
    <row r="26" spans="1:9" ht="50.1" customHeight="1" x14ac:dyDescent="0.2">
      <c r="A26" s="5" t="s">
        <v>6689</v>
      </c>
      <c r="B26" s="5" t="s">
        <v>6690</v>
      </c>
      <c r="C26" s="5" t="s">
        <v>6691</v>
      </c>
      <c r="D26" s="5" t="s">
        <v>4004</v>
      </c>
      <c r="E26" s="5" t="s">
        <v>4089</v>
      </c>
      <c r="F26" s="5" t="s">
        <v>6647</v>
      </c>
      <c r="G26" s="5" t="s">
        <v>6692</v>
      </c>
      <c r="H26" s="5" t="s">
        <v>6693</v>
      </c>
      <c r="I26" s="5" t="s">
        <v>6694</v>
      </c>
    </row>
    <row r="27" spans="1:9" ht="50.1" customHeight="1" x14ac:dyDescent="0.2">
      <c r="A27" s="5" t="s">
        <v>6695</v>
      </c>
      <c r="B27" s="5" t="s">
        <v>6690</v>
      </c>
      <c r="C27" s="5" t="s">
        <v>6696</v>
      </c>
      <c r="D27" s="5" t="s">
        <v>4008</v>
      </c>
      <c r="E27" s="5" t="s">
        <v>4094</v>
      </c>
      <c r="F27" s="5" t="s">
        <v>6647</v>
      </c>
      <c r="G27" s="5" t="s">
        <v>6697</v>
      </c>
      <c r="H27" s="5" t="s">
        <v>6693</v>
      </c>
      <c r="I27" s="5" t="s">
        <v>6694</v>
      </c>
    </row>
    <row r="28" spans="1:9" ht="50.1" customHeight="1" x14ac:dyDescent="0.2">
      <c r="A28" s="5" t="s">
        <v>6698</v>
      </c>
      <c r="B28" s="5" t="s">
        <v>6690</v>
      </c>
      <c r="C28" s="5" t="s">
        <v>6699</v>
      </c>
      <c r="D28" s="5" t="s">
        <v>4016</v>
      </c>
      <c r="E28" s="5" t="s">
        <v>4098</v>
      </c>
      <c r="F28" s="5" t="s">
        <v>6647</v>
      </c>
      <c r="G28" s="5" t="s">
        <v>6700</v>
      </c>
      <c r="H28" s="5" t="s">
        <v>6693</v>
      </c>
      <c r="I28" s="5" t="s">
        <v>6694</v>
      </c>
    </row>
    <row r="29" spans="1:9" ht="50.1" customHeight="1" x14ac:dyDescent="0.2">
      <c r="A29" s="5" t="s">
        <v>6701</v>
      </c>
      <c r="B29" s="5" t="s">
        <v>6702</v>
      </c>
      <c r="C29" s="5" t="s">
        <v>6703</v>
      </c>
      <c r="D29" s="5" t="s">
        <v>4024</v>
      </c>
      <c r="E29" s="5" t="s">
        <v>4124</v>
      </c>
      <c r="F29" s="5" t="s">
        <v>6647</v>
      </c>
      <c r="G29" s="5" t="s">
        <v>6704</v>
      </c>
      <c r="H29" s="5" t="s">
        <v>6705</v>
      </c>
      <c r="I29" s="5" t="s">
        <v>6706</v>
      </c>
    </row>
    <row r="30" spans="1:9" ht="50.1" customHeight="1" x14ac:dyDescent="0.2">
      <c r="A30" s="5" t="s">
        <v>6707</v>
      </c>
      <c r="B30" s="5" t="s">
        <v>6702</v>
      </c>
      <c r="C30" s="5" t="s">
        <v>6708</v>
      </c>
      <c r="D30" s="5" t="s">
        <v>4040</v>
      </c>
      <c r="E30" s="5" t="s">
        <v>4143</v>
      </c>
      <c r="F30" s="5" t="s">
        <v>6647</v>
      </c>
      <c r="G30" s="5" t="s">
        <v>6709</v>
      </c>
      <c r="H30" s="5" t="s">
        <v>6705</v>
      </c>
      <c r="I30" s="5" t="s">
        <v>6706</v>
      </c>
    </row>
    <row r="31" spans="1:9" ht="50.1" customHeight="1" x14ac:dyDescent="0.2">
      <c r="A31" s="5" t="s">
        <v>6710</v>
      </c>
      <c r="B31" s="5" t="s">
        <v>6711</v>
      </c>
      <c r="C31" s="5" t="s">
        <v>6712</v>
      </c>
      <c r="D31" s="5" t="s">
        <v>4032</v>
      </c>
      <c r="E31" s="5" t="s">
        <v>4164</v>
      </c>
      <c r="F31" s="5" t="s">
        <v>6647</v>
      </c>
      <c r="G31" s="5" t="s">
        <v>6713</v>
      </c>
      <c r="H31" s="5" t="s">
        <v>6705</v>
      </c>
      <c r="I31" s="5" t="s">
        <v>6706</v>
      </c>
    </row>
    <row r="32" spans="1:9" ht="50.1" customHeight="1" x14ac:dyDescent="0.2">
      <c r="A32" s="5" t="s">
        <v>6714</v>
      </c>
      <c r="B32" s="5" t="s">
        <v>6715</v>
      </c>
      <c r="C32" s="5" t="s">
        <v>6716</v>
      </c>
      <c r="D32" s="5" t="s">
        <v>4048</v>
      </c>
      <c r="E32" s="5" t="s">
        <v>4185</v>
      </c>
      <c r="F32" s="5" t="s">
        <v>6647</v>
      </c>
      <c r="G32" s="5" t="s">
        <v>6717</v>
      </c>
      <c r="H32" s="5" t="s">
        <v>6705</v>
      </c>
      <c r="I32" s="5" t="s">
        <v>6706</v>
      </c>
    </row>
    <row r="33" spans="1:9" ht="50.1" customHeight="1" x14ac:dyDescent="0.2">
      <c r="A33" s="5" t="s">
        <v>6718</v>
      </c>
      <c r="B33" s="5" t="s">
        <v>6719</v>
      </c>
      <c r="C33" s="5" t="s">
        <v>6720</v>
      </c>
      <c r="D33" s="5" t="s">
        <v>4056</v>
      </c>
      <c r="E33" s="5" t="s">
        <v>4206</v>
      </c>
      <c r="F33" s="5" t="s">
        <v>6647</v>
      </c>
      <c r="G33" s="5" t="s">
        <v>6721</v>
      </c>
      <c r="H33" s="5" t="s">
        <v>6705</v>
      </c>
      <c r="I33" s="5" t="s">
        <v>6706</v>
      </c>
    </row>
    <row r="34" spans="1:9" ht="50.1" customHeight="1" x14ac:dyDescent="0.2">
      <c r="A34" s="5" t="s">
        <v>6722</v>
      </c>
      <c r="B34" s="5" t="s">
        <v>6723</v>
      </c>
      <c r="C34" s="5" t="s">
        <v>6724</v>
      </c>
      <c r="D34" s="5" t="s">
        <v>4064</v>
      </c>
      <c r="E34" s="5" t="s">
        <v>4227</v>
      </c>
      <c r="F34" s="5" t="s">
        <v>6647</v>
      </c>
      <c r="G34" s="5" t="s">
        <v>6725</v>
      </c>
      <c r="H34" s="5" t="s">
        <v>6705</v>
      </c>
      <c r="I34" s="5" t="s">
        <v>6706</v>
      </c>
    </row>
    <row r="35" spans="1:9" ht="50.1" customHeight="1" x14ac:dyDescent="0.2">
      <c r="A35" s="5" t="s">
        <v>6726</v>
      </c>
      <c r="B35" s="5" t="s">
        <v>6723</v>
      </c>
      <c r="C35" s="5" t="s">
        <v>6727</v>
      </c>
      <c r="D35" s="5" t="s">
        <v>4072</v>
      </c>
      <c r="E35" s="5" t="s">
        <v>4246</v>
      </c>
      <c r="F35" s="5" t="s">
        <v>6647</v>
      </c>
      <c r="G35" s="5" t="s">
        <v>6728</v>
      </c>
      <c r="H35" s="5" t="s">
        <v>6705</v>
      </c>
      <c r="I35" s="5" t="s">
        <v>6706</v>
      </c>
    </row>
  </sheetData>
  <conditionalFormatting sqref="F7:F1200">
    <cfRule type="containsText" dxfId="3" priority="1" operator="containsText" text="BLOCK"/>
  </conditionalFormatting>
  <dataValidations count="3">
    <dataValidation type="list" sqref="D7:D1200" xr:uid="{00000000-0002-0000-1900-000000000000}">
      <formula1>og_list_22</formula1>
    </dataValidation>
    <dataValidation type="list" sqref="E7:E1200" xr:uid="{00000000-0002-0000-1900-000001000000}">
      <formula1>og_list_4</formula1>
    </dataValidation>
    <dataValidation type="list" sqref="F7:F1200" xr:uid="{00000000-0002-0000-1900-000002000000}">
      <formula1>"CANDIDATE,SELECTED,REJECTED,SUPERSEDED"</formula1>
    </dataValidation>
  </dataValidations>
  <pageMargins left="0.7" right="0.7" top="0.75" bottom="0.75" header="0.3" footer="0.3"/>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67E8F9"/>
  </sheetPr>
  <dimension ref="A1:J270"/>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7" width="29.0546875" customWidth="1"/>
    <col min="8" max="8" width="18.0234375" customWidth="1"/>
    <col min="9" max="9" width="29.0546875" customWidth="1"/>
    <col min="10" max="10" width="48.0234375" customWidth="1"/>
  </cols>
  <sheetData>
    <row r="1" spans="1:10" ht="21.75" x14ac:dyDescent="0.25">
      <c r="A1" s="3" t="s">
        <v>6729</v>
      </c>
      <c r="B1" s="2"/>
      <c r="C1" s="2"/>
      <c r="D1" s="2"/>
      <c r="E1" s="2"/>
      <c r="F1" s="2"/>
      <c r="G1" s="2"/>
      <c r="H1" s="2"/>
      <c r="I1" s="2"/>
      <c r="J1" s="2"/>
    </row>
    <row r="2" spans="1:10" x14ac:dyDescent="0.2">
      <c r="A2" s="2" t="str">
        <f>HYPERLINK("#'Home'!A1","Home")</f>
        <v>Home</v>
      </c>
      <c r="B2" s="2" t="str">
        <f>HYPERLINK("#'Reader'!A1","Read a record")</f>
        <v>Read a record</v>
      </c>
      <c r="C2" s="2"/>
      <c r="D2" s="2"/>
      <c r="E2" s="2"/>
      <c r="F2" s="2"/>
      <c r="G2" s="2"/>
      <c r="H2" s="2"/>
      <c r="I2" s="2"/>
      <c r="J2" s="2"/>
    </row>
    <row r="3" spans="1:10" ht="45.95" customHeight="1" x14ac:dyDescent="0.2">
      <c r="A3" s="2" t="s">
        <v>2301</v>
      </c>
      <c r="B3" s="2"/>
      <c r="C3" s="2"/>
      <c r="D3" s="2"/>
      <c r="E3" s="2"/>
      <c r="F3" s="2"/>
      <c r="G3" s="2"/>
      <c r="H3" s="2"/>
      <c r="I3" s="2"/>
      <c r="J3" s="2"/>
    </row>
    <row r="4" spans="1:10" ht="16.5" x14ac:dyDescent="0.2">
      <c r="A4" s="4" t="str">
        <f>HYPERLINK("#'Field Dictionary'!A279","🐙🔗 - 1 - SHORT TEXT")</f>
        <v>🐙🔗 - 1 - SHORT TEXT</v>
      </c>
      <c r="B4" s="4" t="str">
        <f>HYPERLINK("#'Field Dictionary'!A280","🐙🔗 - 2 - LONG TEXT")</f>
        <v>🐙🔗 - 2 - LONG TEXT</v>
      </c>
      <c r="C4" s="4" t="str">
        <f>HYPERLINK("#'Field Dictionary'!A281","🐙🔗 - 3 - SHORT TEXT")</f>
        <v>🐙🔗 - 3 - SHORT TEXT</v>
      </c>
      <c r="D4" s="4" t="str">
        <f>HYPERLINK("#'Field Dictionary'!A282","🐙🔗 - 4 - LINKED RECORD")</f>
        <v>🐙🔗 - 4 - LINKED RECORD</v>
      </c>
      <c r="E4" s="4" t="str">
        <f>HYPERLINK("#'Field Dictionary'!A283","🐙🔗 - 5 - LINKED RECORD")</f>
        <v>🐙🔗 - 5 - LINKED RECORD</v>
      </c>
      <c r="F4" s="4" t="str">
        <f>HYPERLINK("#'Field Dictionary'!A284","🐙🔗 - 6 - SINGLE SELECT")</f>
        <v>🐙🔗 - 6 - SINGLE SELECT</v>
      </c>
      <c r="G4" s="4" t="str">
        <f>HYPERLINK("#'Field Dictionary'!A285","🐙🔗 - 7 - SHORT TEXT")</f>
        <v>🐙🔗 - 7 - SHORT TEXT</v>
      </c>
      <c r="H4" s="4" t="str">
        <f>HYPERLINK("#'Field Dictionary'!A286","🐙🔗 - 8 - INTEGER")</f>
        <v>🐙🔗 - 8 - INTEGER</v>
      </c>
      <c r="I4" s="4" t="str">
        <f>HYPERLINK("#'Field Dictionary'!A287","🐙🔗 - 9 - LINKED RECORD")</f>
        <v>🐙🔗 - 9 - LINKED RECORD</v>
      </c>
      <c r="J4" s="4" t="str">
        <f>HYPERLINK("#'Field Dictionary'!A288","🐙🔗 - 10 - LONG TEXT")</f>
        <v>🐙🔗 - 10 - LONG TEXT</v>
      </c>
    </row>
    <row r="5" spans="1:10" ht="38.1" customHeight="1" x14ac:dyDescent="0.2">
      <c r="A5" s="7" t="s">
        <v>100</v>
      </c>
      <c r="B5" s="7" t="s">
        <v>101</v>
      </c>
      <c r="C5" s="7" t="s">
        <v>102</v>
      </c>
      <c r="D5" s="7" t="s">
        <v>6730</v>
      </c>
      <c r="E5" s="7" t="s">
        <v>6731</v>
      </c>
      <c r="F5" s="7" t="s">
        <v>6732</v>
      </c>
      <c r="G5" s="7" t="s">
        <v>6733</v>
      </c>
      <c r="H5" s="7" t="s">
        <v>6734</v>
      </c>
      <c r="I5" s="7" t="s">
        <v>6735</v>
      </c>
      <c r="J5" s="7" t="s">
        <v>6736</v>
      </c>
    </row>
    <row r="6" spans="1:10" ht="38.1" customHeight="1" x14ac:dyDescent="0.2">
      <c r="A6" s="7" t="s">
        <v>115</v>
      </c>
      <c r="B6" s="7" t="s">
        <v>116</v>
      </c>
      <c r="C6" s="7" t="s">
        <v>117</v>
      </c>
      <c r="D6" s="7" t="s">
        <v>6235</v>
      </c>
      <c r="E6" s="7" t="s">
        <v>6238</v>
      </c>
      <c r="F6" s="7" t="s">
        <v>6241</v>
      </c>
      <c r="G6" s="7" t="s">
        <v>6245</v>
      </c>
      <c r="H6" s="7" t="s">
        <v>6248</v>
      </c>
      <c r="I6" s="7" t="s">
        <v>6251</v>
      </c>
      <c r="J6" s="7" t="s">
        <v>6254</v>
      </c>
    </row>
    <row r="7" spans="1:10" ht="50.1" customHeight="1" x14ac:dyDescent="0.2">
      <c r="A7" s="5" t="s">
        <v>6737</v>
      </c>
      <c r="B7" s="5" t="s">
        <v>2301</v>
      </c>
      <c r="C7" s="5" t="s">
        <v>6737</v>
      </c>
      <c r="D7" s="5" t="s">
        <v>258</v>
      </c>
      <c r="E7" s="5" t="s">
        <v>3557</v>
      </c>
      <c r="F7" s="5" t="s">
        <v>6738</v>
      </c>
      <c r="G7" s="5" t="s">
        <v>6739</v>
      </c>
      <c r="H7" s="8">
        <v>1</v>
      </c>
      <c r="I7" s="5"/>
      <c r="J7" s="5" t="s">
        <v>6740</v>
      </c>
    </row>
    <row r="8" spans="1:10" ht="50.1" customHeight="1" x14ac:dyDescent="0.2">
      <c r="A8" s="5" t="s">
        <v>6741</v>
      </c>
      <c r="B8" s="5" t="s">
        <v>2301</v>
      </c>
      <c r="C8" s="5" t="s">
        <v>6741</v>
      </c>
      <c r="D8" s="5" t="s">
        <v>262</v>
      </c>
      <c r="E8" s="5" t="s">
        <v>3563</v>
      </c>
      <c r="F8" s="5" t="s">
        <v>6738</v>
      </c>
      <c r="G8" s="5" t="s">
        <v>6739</v>
      </c>
      <c r="H8" s="8">
        <v>1</v>
      </c>
      <c r="I8" s="5"/>
      <c r="J8" s="5" t="s">
        <v>6740</v>
      </c>
    </row>
    <row r="9" spans="1:10" ht="50.1" customHeight="1" x14ac:dyDescent="0.2">
      <c r="A9" s="5" t="s">
        <v>6742</v>
      </c>
      <c r="B9" s="5" t="s">
        <v>2301</v>
      </c>
      <c r="C9" s="5" t="s">
        <v>6742</v>
      </c>
      <c r="D9" s="5" t="s">
        <v>252</v>
      </c>
      <c r="E9" s="5" t="s">
        <v>3572</v>
      </c>
      <c r="F9" s="5" t="s">
        <v>6738</v>
      </c>
      <c r="G9" s="5" t="s">
        <v>6739</v>
      </c>
      <c r="H9" s="8">
        <v>1</v>
      </c>
      <c r="I9" s="5"/>
      <c r="J9" s="5" t="s">
        <v>6740</v>
      </c>
    </row>
    <row r="10" spans="1:10" ht="50.1" customHeight="1" x14ac:dyDescent="0.2">
      <c r="A10" s="5" t="s">
        <v>6743</v>
      </c>
      <c r="B10" s="5" t="s">
        <v>2301</v>
      </c>
      <c r="C10" s="5" t="s">
        <v>6743</v>
      </c>
      <c r="D10" s="5" t="s">
        <v>254</v>
      </c>
      <c r="E10" s="5" t="s">
        <v>3577</v>
      </c>
      <c r="F10" s="5" t="s">
        <v>6738</v>
      </c>
      <c r="G10" s="5" t="s">
        <v>6739</v>
      </c>
      <c r="H10" s="8">
        <v>1</v>
      </c>
      <c r="I10" s="5"/>
      <c r="J10" s="5" t="s">
        <v>6740</v>
      </c>
    </row>
    <row r="11" spans="1:10" ht="50.1" customHeight="1" x14ac:dyDescent="0.2">
      <c r="A11" s="5" t="s">
        <v>6744</v>
      </c>
      <c r="B11" s="5" t="s">
        <v>2301</v>
      </c>
      <c r="C11" s="5" t="s">
        <v>6744</v>
      </c>
      <c r="D11" s="5" t="s">
        <v>258</v>
      </c>
      <c r="E11" s="5" t="s">
        <v>3581</v>
      </c>
      <c r="F11" s="5" t="s">
        <v>6738</v>
      </c>
      <c r="G11" s="5" t="s">
        <v>6739</v>
      </c>
      <c r="H11" s="8">
        <v>1</v>
      </c>
      <c r="I11" s="5"/>
      <c r="J11" s="5" t="s">
        <v>6740</v>
      </c>
    </row>
    <row r="12" spans="1:10" ht="50.1" customHeight="1" x14ac:dyDescent="0.2">
      <c r="A12" s="5" t="s">
        <v>6745</v>
      </c>
      <c r="B12" s="5" t="s">
        <v>2301</v>
      </c>
      <c r="C12" s="5" t="s">
        <v>6745</v>
      </c>
      <c r="D12" s="5" t="s">
        <v>256</v>
      </c>
      <c r="E12" s="5" t="s">
        <v>3586</v>
      </c>
      <c r="F12" s="5" t="s">
        <v>6738</v>
      </c>
      <c r="G12" s="5" t="s">
        <v>6739</v>
      </c>
      <c r="H12" s="8">
        <v>1</v>
      </c>
      <c r="I12" s="5"/>
      <c r="J12" s="5" t="s">
        <v>6740</v>
      </c>
    </row>
    <row r="13" spans="1:10" ht="50.1" customHeight="1" x14ac:dyDescent="0.2">
      <c r="A13" s="5" t="s">
        <v>6746</v>
      </c>
      <c r="B13" s="5" t="s">
        <v>2301</v>
      </c>
      <c r="C13" s="5" t="s">
        <v>6746</v>
      </c>
      <c r="D13" s="5" t="s">
        <v>258</v>
      </c>
      <c r="E13" s="5" t="s">
        <v>3590</v>
      </c>
      <c r="F13" s="5" t="s">
        <v>6738</v>
      </c>
      <c r="G13" s="5" t="s">
        <v>6739</v>
      </c>
      <c r="H13" s="8">
        <v>1</v>
      </c>
      <c r="I13" s="5"/>
      <c r="J13" s="5" t="s">
        <v>6740</v>
      </c>
    </row>
    <row r="14" spans="1:10" ht="50.1" customHeight="1" x14ac:dyDescent="0.2">
      <c r="A14" s="5" t="s">
        <v>6747</v>
      </c>
      <c r="B14" s="5" t="s">
        <v>2301</v>
      </c>
      <c r="C14" s="5" t="s">
        <v>6747</v>
      </c>
      <c r="D14" s="5" t="s">
        <v>256</v>
      </c>
      <c r="E14" s="5" t="s">
        <v>3595</v>
      </c>
      <c r="F14" s="5" t="s">
        <v>6738</v>
      </c>
      <c r="G14" s="5" t="s">
        <v>6739</v>
      </c>
      <c r="H14" s="8">
        <v>1</v>
      </c>
      <c r="I14" s="5"/>
      <c r="J14" s="5" t="s">
        <v>6740</v>
      </c>
    </row>
    <row r="15" spans="1:10" ht="50.1" customHeight="1" x14ac:dyDescent="0.2">
      <c r="A15" s="5" t="s">
        <v>6748</v>
      </c>
      <c r="B15" s="5" t="s">
        <v>2301</v>
      </c>
      <c r="C15" s="5" t="s">
        <v>6748</v>
      </c>
      <c r="D15" s="5" t="s">
        <v>258</v>
      </c>
      <c r="E15" s="5" t="s">
        <v>3600</v>
      </c>
      <c r="F15" s="5" t="s">
        <v>6738</v>
      </c>
      <c r="G15" s="5" t="s">
        <v>6739</v>
      </c>
      <c r="H15" s="8">
        <v>1</v>
      </c>
      <c r="I15" s="5"/>
      <c r="J15" s="5" t="s">
        <v>6740</v>
      </c>
    </row>
    <row r="16" spans="1:10" ht="50.1" customHeight="1" x14ac:dyDescent="0.2">
      <c r="A16" s="5" t="s">
        <v>6749</v>
      </c>
      <c r="B16" s="5" t="s">
        <v>2301</v>
      </c>
      <c r="C16" s="5" t="s">
        <v>6749</v>
      </c>
      <c r="D16" s="5" t="s">
        <v>260</v>
      </c>
      <c r="E16" s="5" t="s">
        <v>3604</v>
      </c>
      <c r="F16" s="5" t="s">
        <v>6738</v>
      </c>
      <c r="G16" s="5" t="s">
        <v>6739</v>
      </c>
      <c r="H16" s="8">
        <v>1</v>
      </c>
      <c r="I16" s="5"/>
      <c r="J16" s="5" t="s">
        <v>6740</v>
      </c>
    </row>
    <row r="17" spans="1:10" ht="50.1" customHeight="1" x14ac:dyDescent="0.2">
      <c r="A17" s="5" t="s">
        <v>6750</v>
      </c>
      <c r="B17" s="5" t="s">
        <v>2301</v>
      </c>
      <c r="C17" s="5" t="s">
        <v>6750</v>
      </c>
      <c r="D17" s="5" t="s">
        <v>252</v>
      </c>
      <c r="E17" s="5" t="s">
        <v>3608</v>
      </c>
      <c r="F17" s="5" t="s">
        <v>6738</v>
      </c>
      <c r="G17" s="5" t="s">
        <v>6739</v>
      </c>
      <c r="H17" s="8">
        <v>1</v>
      </c>
      <c r="I17" s="5"/>
      <c r="J17" s="5" t="s">
        <v>6740</v>
      </c>
    </row>
    <row r="18" spans="1:10" ht="50.1" customHeight="1" x14ac:dyDescent="0.2">
      <c r="A18" s="5" t="s">
        <v>6751</v>
      </c>
      <c r="B18" s="5" t="s">
        <v>2301</v>
      </c>
      <c r="C18" s="5" t="s">
        <v>6751</v>
      </c>
      <c r="D18" s="5" t="s">
        <v>254</v>
      </c>
      <c r="E18" s="5" t="s">
        <v>3612</v>
      </c>
      <c r="F18" s="5" t="s">
        <v>6738</v>
      </c>
      <c r="G18" s="5" t="s">
        <v>6739</v>
      </c>
      <c r="H18" s="8">
        <v>1</v>
      </c>
      <c r="I18" s="5"/>
      <c r="J18" s="5" t="s">
        <v>6740</v>
      </c>
    </row>
    <row r="19" spans="1:10" ht="50.1" customHeight="1" x14ac:dyDescent="0.2">
      <c r="A19" s="5" t="s">
        <v>6752</v>
      </c>
      <c r="B19" s="5" t="s">
        <v>2301</v>
      </c>
      <c r="C19" s="5" t="s">
        <v>6752</v>
      </c>
      <c r="D19" s="5" t="s">
        <v>258</v>
      </c>
      <c r="E19" s="5" t="s">
        <v>3616</v>
      </c>
      <c r="F19" s="5" t="s">
        <v>6738</v>
      </c>
      <c r="G19" s="5" t="s">
        <v>6739</v>
      </c>
      <c r="H19" s="8">
        <v>1</v>
      </c>
      <c r="I19" s="5"/>
      <c r="J19" s="5" t="s">
        <v>6740</v>
      </c>
    </row>
    <row r="20" spans="1:10" ht="50.1" customHeight="1" x14ac:dyDescent="0.2">
      <c r="A20" s="5" t="s">
        <v>6753</v>
      </c>
      <c r="B20" s="5" t="s">
        <v>2301</v>
      </c>
      <c r="C20" s="5" t="s">
        <v>6753</v>
      </c>
      <c r="D20" s="5" t="s">
        <v>256</v>
      </c>
      <c r="E20" s="5" t="s">
        <v>3620</v>
      </c>
      <c r="F20" s="5" t="s">
        <v>6738</v>
      </c>
      <c r="G20" s="5" t="s">
        <v>6739</v>
      </c>
      <c r="H20" s="8">
        <v>1</v>
      </c>
      <c r="I20" s="5"/>
      <c r="J20" s="5" t="s">
        <v>6740</v>
      </c>
    </row>
    <row r="21" spans="1:10" ht="50.1" customHeight="1" x14ac:dyDescent="0.2">
      <c r="A21" s="5" t="s">
        <v>6754</v>
      </c>
      <c r="B21" s="5" t="s">
        <v>2301</v>
      </c>
      <c r="C21" s="5" t="s">
        <v>6754</v>
      </c>
      <c r="D21" s="5" t="s">
        <v>258</v>
      </c>
      <c r="E21" s="5" t="s">
        <v>3624</v>
      </c>
      <c r="F21" s="5" t="s">
        <v>6738</v>
      </c>
      <c r="G21" s="5" t="s">
        <v>6739</v>
      </c>
      <c r="H21" s="8">
        <v>1</v>
      </c>
      <c r="I21" s="5"/>
      <c r="J21" s="5" t="s">
        <v>6740</v>
      </c>
    </row>
    <row r="22" spans="1:10" ht="50.1" customHeight="1" x14ac:dyDescent="0.2">
      <c r="A22" s="5" t="s">
        <v>6755</v>
      </c>
      <c r="B22" s="5" t="s">
        <v>2301</v>
      </c>
      <c r="C22" s="5" t="s">
        <v>6755</v>
      </c>
      <c r="D22" s="5" t="s">
        <v>256</v>
      </c>
      <c r="E22" s="5" t="s">
        <v>3628</v>
      </c>
      <c r="F22" s="5" t="s">
        <v>6738</v>
      </c>
      <c r="G22" s="5" t="s">
        <v>6739</v>
      </c>
      <c r="H22" s="8">
        <v>1</v>
      </c>
      <c r="I22" s="5"/>
      <c r="J22" s="5" t="s">
        <v>6740</v>
      </c>
    </row>
    <row r="23" spans="1:10" ht="50.1" customHeight="1" x14ac:dyDescent="0.2">
      <c r="A23" s="5" t="s">
        <v>6756</v>
      </c>
      <c r="B23" s="5" t="s">
        <v>2301</v>
      </c>
      <c r="C23" s="5" t="s">
        <v>6756</v>
      </c>
      <c r="D23" s="5" t="s">
        <v>258</v>
      </c>
      <c r="E23" s="5" t="s">
        <v>3632</v>
      </c>
      <c r="F23" s="5" t="s">
        <v>6738</v>
      </c>
      <c r="G23" s="5" t="s">
        <v>6739</v>
      </c>
      <c r="H23" s="8">
        <v>1</v>
      </c>
      <c r="I23" s="5"/>
      <c r="J23" s="5" t="s">
        <v>6740</v>
      </c>
    </row>
    <row r="24" spans="1:10" ht="50.1" customHeight="1" x14ac:dyDescent="0.2">
      <c r="A24" s="5" t="s">
        <v>6757</v>
      </c>
      <c r="B24" s="5" t="s">
        <v>2301</v>
      </c>
      <c r="C24" s="5" t="s">
        <v>6757</v>
      </c>
      <c r="D24" s="5" t="s">
        <v>260</v>
      </c>
      <c r="E24" s="5" t="s">
        <v>3636</v>
      </c>
      <c r="F24" s="5" t="s">
        <v>6738</v>
      </c>
      <c r="G24" s="5" t="s">
        <v>6739</v>
      </c>
      <c r="H24" s="8">
        <v>1</v>
      </c>
      <c r="I24" s="5"/>
      <c r="J24" s="5" t="s">
        <v>6740</v>
      </c>
    </row>
    <row r="25" spans="1:10" ht="50.1" customHeight="1" x14ac:dyDescent="0.2">
      <c r="A25" s="5" t="s">
        <v>6758</v>
      </c>
      <c r="B25" s="5" t="s">
        <v>2301</v>
      </c>
      <c r="C25" s="5" t="s">
        <v>6758</v>
      </c>
      <c r="D25" s="5" t="s">
        <v>252</v>
      </c>
      <c r="E25" s="5" t="s">
        <v>3640</v>
      </c>
      <c r="F25" s="5" t="s">
        <v>6738</v>
      </c>
      <c r="G25" s="5" t="s">
        <v>6739</v>
      </c>
      <c r="H25" s="8">
        <v>1</v>
      </c>
      <c r="I25" s="5"/>
      <c r="J25" s="5" t="s">
        <v>6740</v>
      </c>
    </row>
    <row r="26" spans="1:10" ht="50.1" customHeight="1" x14ac:dyDescent="0.2">
      <c r="A26" s="5" t="s">
        <v>6759</v>
      </c>
      <c r="B26" s="5" t="s">
        <v>2301</v>
      </c>
      <c r="C26" s="5" t="s">
        <v>6759</v>
      </c>
      <c r="D26" s="5" t="s">
        <v>254</v>
      </c>
      <c r="E26" s="5" t="s">
        <v>3644</v>
      </c>
      <c r="F26" s="5" t="s">
        <v>6738</v>
      </c>
      <c r="G26" s="5" t="s">
        <v>6739</v>
      </c>
      <c r="H26" s="8">
        <v>1</v>
      </c>
      <c r="I26" s="5"/>
      <c r="J26" s="5" t="s">
        <v>6740</v>
      </c>
    </row>
    <row r="27" spans="1:10" ht="50.1" customHeight="1" x14ac:dyDescent="0.2">
      <c r="A27" s="5" t="s">
        <v>6760</v>
      </c>
      <c r="B27" s="5" t="s">
        <v>2301</v>
      </c>
      <c r="C27" s="5" t="s">
        <v>6760</v>
      </c>
      <c r="D27" s="5" t="s">
        <v>258</v>
      </c>
      <c r="E27" s="5" t="s">
        <v>3648</v>
      </c>
      <c r="F27" s="5" t="s">
        <v>6738</v>
      </c>
      <c r="G27" s="5" t="s">
        <v>6739</v>
      </c>
      <c r="H27" s="8">
        <v>1</v>
      </c>
      <c r="I27" s="5"/>
      <c r="J27" s="5" t="s">
        <v>6740</v>
      </c>
    </row>
    <row r="28" spans="1:10" ht="50.1" customHeight="1" x14ac:dyDescent="0.2">
      <c r="A28" s="5" t="s">
        <v>6761</v>
      </c>
      <c r="B28" s="5" t="s">
        <v>2301</v>
      </c>
      <c r="C28" s="5" t="s">
        <v>6761</v>
      </c>
      <c r="D28" s="5" t="s">
        <v>256</v>
      </c>
      <c r="E28" s="5" t="s">
        <v>3652</v>
      </c>
      <c r="F28" s="5" t="s">
        <v>6738</v>
      </c>
      <c r="G28" s="5" t="s">
        <v>6739</v>
      </c>
      <c r="H28" s="8">
        <v>1</v>
      </c>
      <c r="I28" s="5"/>
      <c r="J28" s="5" t="s">
        <v>6740</v>
      </c>
    </row>
    <row r="29" spans="1:10" ht="50.1" customHeight="1" x14ac:dyDescent="0.2">
      <c r="A29" s="5" t="s">
        <v>6762</v>
      </c>
      <c r="B29" s="5" t="s">
        <v>2301</v>
      </c>
      <c r="C29" s="5" t="s">
        <v>6762</v>
      </c>
      <c r="D29" s="5" t="s">
        <v>258</v>
      </c>
      <c r="E29" s="5" t="s">
        <v>3656</v>
      </c>
      <c r="F29" s="5" t="s">
        <v>6738</v>
      </c>
      <c r="G29" s="5" t="s">
        <v>6739</v>
      </c>
      <c r="H29" s="8">
        <v>1</v>
      </c>
      <c r="I29" s="5"/>
      <c r="J29" s="5" t="s">
        <v>6740</v>
      </c>
    </row>
    <row r="30" spans="1:10" ht="50.1" customHeight="1" x14ac:dyDescent="0.2">
      <c r="A30" s="5" t="s">
        <v>6763</v>
      </c>
      <c r="B30" s="5" t="s">
        <v>2301</v>
      </c>
      <c r="C30" s="5" t="s">
        <v>6763</v>
      </c>
      <c r="D30" s="5" t="s">
        <v>256</v>
      </c>
      <c r="E30" s="5" t="s">
        <v>3660</v>
      </c>
      <c r="F30" s="5" t="s">
        <v>6738</v>
      </c>
      <c r="G30" s="5" t="s">
        <v>6739</v>
      </c>
      <c r="H30" s="8">
        <v>1</v>
      </c>
      <c r="I30" s="5"/>
      <c r="J30" s="5" t="s">
        <v>6740</v>
      </c>
    </row>
    <row r="31" spans="1:10" ht="50.1" customHeight="1" x14ac:dyDescent="0.2">
      <c r="A31" s="5" t="s">
        <v>6764</v>
      </c>
      <c r="B31" s="5" t="s">
        <v>2301</v>
      </c>
      <c r="C31" s="5" t="s">
        <v>6764</v>
      </c>
      <c r="D31" s="5" t="s">
        <v>258</v>
      </c>
      <c r="E31" s="5" t="s">
        <v>3664</v>
      </c>
      <c r="F31" s="5" t="s">
        <v>6738</v>
      </c>
      <c r="G31" s="5" t="s">
        <v>6739</v>
      </c>
      <c r="H31" s="8">
        <v>1</v>
      </c>
      <c r="I31" s="5"/>
      <c r="J31" s="5" t="s">
        <v>6740</v>
      </c>
    </row>
    <row r="32" spans="1:10" ht="50.1" customHeight="1" x14ac:dyDescent="0.2">
      <c r="A32" s="5" t="s">
        <v>6765</v>
      </c>
      <c r="B32" s="5" t="s">
        <v>2301</v>
      </c>
      <c r="C32" s="5" t="s">
        <v>6765</v>
      </c>
      <c r="D32" s="5" t="s">
        <v>260</v>
      </c>
      <c r="E32" s="5" t="s">
        <v>3668</v>
      </c>
      <c r="F32" s="5" t="s">
        <v>6738</v>
      </c>
      <c r="G32" s="5" t="s">
        <v>6739</v>
      </c>
      <c r="H32" s="8">
        <v>1</v>
      </c>
      <c r="I32" s="5"/>
      <c r="J32" s="5" t="s">
        <v>6740</v>
      </c>
    </row>
    <row r="33" spans="1:10" ht="50.1" customHeight="1" x14ac:dyDescent="0.2">
      <c r="A33" s="5" t="s">
        <v>6766</v>
      </c>
      <c r="B33" s="5" t="s">
        <v>2301</v>
      </c>
      <c r="C33" s="5" t="s">
        <v>6766</v>
      </c>
      <c r="D33" s="5" t="s">
        <v>252</v>
      </c>
      <c r="E33" s="5" t="s">
        <v>3672</v>
      </c>
      <c r="F33" s="5" t="s">
        <v>6738</v>
      </c>
      <c r="G33" s="5" t="s">
        <v>6739</v>
      </c>
      <c r="H33" s="8">
        <v>1</v>
      </c>
      <c r="I33" s="5"/>
      <c r="J33" s="5" t="s">
        <v>6740</v>
      </c>
    </row>
    <row r="34" spans="1:10" ht="50.1" customHeight="1" x14ac:dyDescent="0.2">
      <c r="A34" s="5" t="s">
        <v>6767</v>
      </c>
      <c r="B34" s="5" t="s">
        <v>2301</v>
      </c>
      <c r="C34" s="5" t="s">
        <v>6767</v>
      </c>
      <c r="D34" s="5" t="s">
        <v>254</v>
      </c>
      <c r="E34" s="5" t="s">
        <v>3676</v>
      </c>
      <c r="F34" s="5" t="s">
        <v>6738</v>
      </c>
      <c r="G34" s="5" t="s">
        <v>6739</v>
      </c>
      <c r="H34" s="8">
        <v>1</v>
      </c>
      <c r="I34" s="5"/>
      <c r="J34" s="5" t="s">
        <v>6740</v>
      </c>
    </row>
    <row r="35" spans="1:10" ht="50.1" customHeight="1" x14ac:dyDescent="0.2">
      <c r="A35" s="5" t="s">
        <v>6768</v>
      </c>
      <c r="B35" s="5" t="s">
        <v>2301</v>
      </c>
      <c r="C35" s="5" t="s">
        <v>6768</v>
      </c>
      <c r="D35" s="5" t="s">
        <v>258</v>
      </c>
      <c r="E35" s="5" t="s">
        <v>3680</v>
      </c>
      <c r="F35" s="5" t="s">
        <v>6738</v>
      </c>
      <c r="G35" s="5" t="s">
        <v>6739</v>
      </c>
      <c r="H35" s="8">
        <v>1</v>
      </c>
      <c r="I35" s="5"/>
      <c r="J35" s="5" t="s">
        <v>6740</v>
      </c>
    </row>
    <row r="36" spans="1:10" ht="50.1" customHeight="1" x14ac:dyDescent="0.2">
      <c r="A36" s="5" t="s">
        <v>6769</v>
      </c>
      <c r="B36" s="5" t="s">
        <v>2301</v>
      </c>
      <c r="C36" s="5" t="s">
        <v>6769</v>
      </c>
      <c r="D36" s="5" t="s">
        <v>256</v>
      </c>
      <c r="E36" s="5" t="s">
        <v>3684</v>
      </c>
      <c r="F36" s="5" t="s">
        <v>6738</v>
      </c>
      <c r="G36" s="5" t="s">
        <v>6739</v>
      </c>
      <c r="H36" s="8">
        <v>1</v>
      </c>
      <c r="I36" s="5"/>
      <c r="J36" s="5" t="s">
        <v>6740</v>
      </c>
    </row>
    <row r="37" spans="1:10" ht="50.1" customHeight="1" x14ac:dyDescent="0.2">
      <c r="A37" s="5" t="s">
        <v>6770</v>
      </c>
      <c r="B37" s="5" t="s">
        <v>2301</v>
      </c>
      <c r="C37" s="5" t="s">
        <v>6770</v>
      </c>
      <c r="D37" s="5" t="s">
        <v>258</v>
      </c>
      <c r="E37" s="5" t="s">
        <v>3688</v>
      </c>
      <c r="F37" s="5" t="s">
        <v>6738</v>
      </c>
      <c r="G37" s="5" t="s">
        <v>6739</v>
      </c>
      <c r="H37" s="8">
        <v>1</v>
      </c>
      <c r="I37" s="5"/>
      <c r="J37" s="5" t="s">
        <v>6740</v>
      </c>
    </row>
    <row r="38" spans="1:10" ht="50.1" customHeight="1" x14ac:dyDescent="0.2">
      <c r="A38" s="5" t="s">
        <v>6771</v>
      </c>
      <c r="B38" s="5" t="s">
        <v>2301</v>
      </c>
      <c r="C38" s="5" t="s">
        <v>6771</v>
      </c>
      <c r="D38" s="5" t="s">
        <v>256</v>
      </c>
      <c r="E38" s="5" t="s">
        <v>3692</v>
      </c>
      <c r="F38" s="5" t="s">
        <v>6738</v>
      </c>
      <c r="G38" s="5" t="s">
        <v>6739</v>
      </c>
      <c r="H38" s="8">
        <v>1</v>
      </c>
      <c r="I38" s="5"/>
      <c r="J38" s="5" t="s">
        <v>6740</v>
      </c>
    </row>
    <row r="39" spans="1:10" ht="50.1" customHeight="1" x14ac:dyDescent="0.2">
      <c r="A39" s="5" t="s">
        <v>6772</v>
      </c>
      <c r="B39" s="5" t="s">
        <v>2301</v>
      </c>
      <c r="C39" s="5" t="s">
        <v>6772</v>
      </c>
      <c r="D39" s="5" t="s">
        <v>258</v>
      </c>
      <c r="E39" s="5" t="s">
        <v>3696</v>
      </c>
      <c r="F39" s="5" t="s">
        <v>6738</v>
      </c>
      <c r="G39" s="5" t="s">
        <v>6739</v>
      </c>
      <c r="H39" s="8">
        <v>1</v>
      </c>
      <c r="I39" s="5"/>
      <c r="J39" s="5" t="s">
        <v>6740</v>
      </c>
    </row>
    <row r="40" spans="1:10" ht="50.1" customHeight="1" x14ac:dyDescent="0.2">
      <c r="A40" s="5" t="s">
        <v>6773</v>
      </c>
      <c r="B40" s="5" t="s">
        <v>2301</v>
      </c>
      <c r="C40" s="5" t="s">
        <v>6773</v>
      </c>
      <c r="D40" s="5" t="s">
        <v>260</v>
      </c>
      <c r="E40" s="5" t="s">
        <v>3700</v>
      </c>
      <c r="F40" s="5" t="s">
        <v>6738</v>
      </c>
      <c r="G40" s="5" t="s">
        <v>6739</v>
      </c>
      <c r="H40" s="8">
        <v>1</v>
      </c>
      <c r="I40" s="5"/>
      <c r="J40" s="5" t="s">
        <v>6740</v>
      </c>
    </row>
    <row r="41" spans="1:10" ht="50.1" customHeight="1" x14ac:dyDescent="0.2">
      <c r="A41" s="5" t="s">
        <v>6774</v>
      </c>
      <c r="B41" s="5" t="s">
        <v>2301</v>
      </c>
      <c r="C41" s="5" t="s">
        <v>6774</v>
      </c>
      <c r="D41" s="5" t="s">
        <v>252</v>
      </c>
      <c r="E41" s="5" t="s">
        <v>3704</v>
      </c>
      <c r="F41" s="5" t="s">
        <v>6738</v>
      </c>
      <c r="G41" s="5" t="s">
        <v>6739</v>
      </c>
      <c r="H41" s="8">
        <v>1</v>
      </c>
      <c r="I41" s="5"/>
      <c r="J41" s="5" t="s">
        <v>6740</v>
      </c>
    </row>
    <row r="42" spans="1:10" ht="50.1" customHeight="1" x14ac:dyDescent="0.2">
      <c r="A42" s="5" t="s">
        <v>6775</v>
      </c>
      <c r="B42" s="5" t="s">
        <v>2301</v>
      </c>
      <c r="C42" s="5" t="s">
        <v>6775</v>
      </c>
      <c r="D42" s="5" t="s">
        <v>254</v>
      </c>
      <c r="E42" s="5" t="s">
        <v>3708</v>
      </c>
      <c r="F42" s="5" t="s">
        <v>6738</v>
      </c>
      <c r="G42" s="5" t="s">
        <v>6739</v>
      </c>
      <c r="H42" s="8">
        <v>1</v>
      </c>
      <c r="I42" s="5"/>
      <c r="J42" s="5" t="s">
        <v>6740</v>
      </c>
    </row>
    <row r="43" spans="1:10" ht="50.1" customHeight="1" x14ac:dyDescent="0.2">
      <c r="A43" s="5" t="s">
        <v>6776</v>
      </c>
      <c r="B43" s="5" t="s">
        <v>2301</v>
      </c>
      <c r="C43" s="5" t="s">
        <v>6776</v>
      </c>
      <c r="D43" s="5" t="s">
        <v>258</v>
      </c>
      <c r="E43" s="5" t="s">
        <v>3712</v>
      </c>
      <c r="F43" s="5" t="s">
        <v>6738</v>
      </c>
      <c r="G43" s="5" t="s">
        <v>6739</v>
      </c>
      <c r="H43" s="8">
        <v>1</v>
      </c>
      <c r="I43" s="5"/>
      <c r="J43" s="5" t="s">
        <v>6740</v>
      </c>
    </row>
    <row r="44" spans="1:10" ht="50.1" customHeight="1" x14ac:dyDescent="0.2">
      <c r="A44" s="5" t="s">
        <v>6777</v>
      </c>
      <c r="B44" s="5" t="s">
        <v>2301</v>
      </c>
      <c r="C44" s="5" t="s">
        <v>6777</v>
      </c>
      <c r="D44" s="5" t="s">
        <v>256</v>
      </c>
      <c r="E44" s="5" t="s">
        <v>3716</v>
      </c>
      <c r="F44" s="5" t="s">
        <v>6738</v>
      </c>
      <c r="G44" s="5" t="s">
        <v>6739</v>
      </c>
      <c r="H44" s="8">
        <v>1</v>
      </c>
      <c r="I44" s="5"/>
      <c r="J44" s="5" t="s">
        <v>6740</v>
      </c>
    </row>
    <row r="45" spans="1:10" ht="50.1" customHeight="1" x14ac:dyDescent="0.2">
      <c r="A45" s="5" t="s">
        <v>6778</v>
      </c>
      <c r="B45" s="5" t="s">
        <v>2301</v>
      </c>
      <c r="C45" s="5" t="s">
        <v>6778</v>
      </c>
      <c r="D45" s="5" t="s">
        <v>258</v>
      </c>
      <c r="E45" s="5" t="s">
        <v>3720</v>
      </c>
      <c r="F45" s="5" t="s">
        <v>6738</v>
      </c>
      <c r="G45" s="5" t="s">
        <v>6739</v>
      </c>
      <c r="H45" s="8">
        <v>1</v>
      </c>
      <c r="I45" s="5"/>
      <c r="J45" s="5" t="s">
        <v>6740</v>
      </c>
    </row>
    <row r="46" spans="1:10" ht="50.1" customHeight="1" x14ac:dyDescent="0.2">
      <c r="A46" s="5" t="s">
        <v>6779</v>
      </c>
      <c r="B46" s="5" t="s">
        <v>2301</v>
      </c>
      <c r="C46" s="5" t="s">
        <v>6779</v>
      </c>
      <c r="D46" s="5" t="s">
        <v>256</v>
      </c>
      <c r="E46" s="5" t="s">
        <v>3724</v>
      </c>
      <c r="F46" s="5" t="s">
        <v>6738</v>
      </c>
      <c r="G46" s="5" t="s">
        <v>6739</v>
      </c>
      <c r="H46" s="8">
        <v>1</v>
      </c>
      <c r="I46" s="5"/>
      <c r="J46" s="5" t="s">
        <v>6740</v>
      </c>
    </row>
    <row r="47" spans="1:10" ht="50.1" customHeight="1" x14ac:dyDescent="0.2">
      <c r="A47" s="5" t="s">
        <v>6780</v>
      </c>
      <c r="B47" s="5" t="s">
        <v>2301</v>
      </c>
      <c r="C47" s="5" t="s">
        <v>6780</v>
      </c>
      <c r="D47" s="5" t="s">
        <v>258</v>
      </c>
      <c r="E47" s="5" t="s">
        <v>3728</v>
      </c>
      <c r="F47" s="5" t="s">
        <v>6738</v>
      </c>
      <c r="G47" s="5" t="s">
        <v>6739</v>
      </c>
      <c r="H47" s="8">
        <v>1</v>
      </c>
      <c r="I47" s="5"/>
      <c r="J47" s="5" t="s">
        <v>6740</v>
      </c>
    </row>
    <row r="48" spans="1:10" ht="50.1" customHeight="1" x14ac:dyDescent="0.2">
      <c r="A48" s="5" t="s">
        <v>6781</v>
      </c>
      <c r="B48" s="5" t="s">
        <v>2301</v>
      </c>
      <c r="C48" s="5" t="s">
        <v>6781</v>
      </c>
      <c r="D48" s="5" t="s">
        <v>260</v>
      </c>
      <c r="E48" s="5" t="s">
        <v>3732</v>
      </c>
      <c r="F48" s="5" t="s">
        <v>6738</v>
      </c>
      <c r="G48" s="5" t="s">
        <v>6739</v>
      </c>
      <c r="H48" s="8">
        <v>1</v>
      </c>
      <c r="I48" s="5"/>
      <c r="J48" s="5" t="s">
        <v>6740</v>
      </c>
    </row>
    <row r="49" spans="1:10" ht="50.1" customHeight="1" x14ac:dyDescent="0.2">
      <c r="A49" s="5" t="s">
        <v>6782</v>
      </c>
      <c r="B49" s="5" t="s">
        <v>2301</v>
      </c>
      <c r="C49" s="5" t="s">
        <v>6782</v>
      </c>
      <c r="D49" s="5" t="s">
        <v>252</v>
      </c>
      <c r="E49" s="5" t="s">
        <v>3736</v>
      </c>
      <c r="F49" s="5" t="s">
        <v>6738</v>
      </c>
      <c r="G49" s="5" t="s">
        <v>6739</v>
      </c>
      <c r="H49" s="8">
        <v>1</v>
      </c>
      <c r="I49" s="5"/>
      <c r="J49" s="5" t="s">
        <v>6740</v>
      </c>
    </row>
    <row r="50" spans="1:10" ht="50.1" customHeight="1" x14ac:dyDescent="0.2">
      <c r="A50" s="5" t="s">
        <v>6783</v>
      </c>
      <c r="B50" s="5" t="s">
        <v>2301</v>
      </c>
      <c r="C50" s="5" t="s">
        <v>6783</v>
      </c>
      <c r="D50" s="5" t="s">
        <v>254</v>
      </c>
      <c r="E50" s="5" t="s">
        <v>3740</v>
      </c>
      <c r="F50" s="5" t="s">
        <v>6738</v>
      </c>
      <c r="G50" s="5" t="s">
        <v>6739</v>
      </c>
      <c r="H50" s="8">
        <v>1</v>
      </c>
      <c r="I50" s="5"/>
      <c r="J50" s="5" t="s">
        <v>6740</v>
      </c>
    </row>
    <row r="51" spans="1:10" ht="50.1" customHeight="1" x14ac:dyDescent="0.2">
      <c r="A51" s="5" t="s">
        <v>6784</v>
      </c>
      <c r="B51" s="5" t="s">
        <v>2301</v>
      </c>
      <c r="C51" s="5" t="s">
        <v>6784</v>
      </c>
      <c r="D51" s="5" t="s">
        <v>258</v>
      </c>
      <c r="E51" s="5" t="s">
        <v>3744</v>
      </c>
      <c r="F51" s="5" t="s">
        <v>6738</v>
      </c>
      <c r="G51" s="5" t="s">
        <v>6739</v>
      </c>
      <c r="H51" s="8">
        <v>1</v>
      </c>
      <c r="I51" s="5"/>
      <c r="J51" s="5" t="s">
        <v>6740</v>
      </c>
    </row>
    <row r="52" spans="1:10" ht="50.1" customHeight="1" x14ac:dyDescent="0.2">
      <c r="A52" s="5" t="s">
        <v>6785</v>
      </c>
      <c r="B52" s="5" t="s">
        <v>2301</v>
      </c>
      <c r="C52" s="5" t="s">
        <v>6785</v>
      </c>
      <c r="D52" s="5" t="s">
        <v>256</v>
      </c>
      <c r="E52" s="5" t="s">
        <v>3748</v>
      </c>
      <c r="F52" s="5" t="s">
        <v>6738</v>
      </c>
      <c r="G52" s="5" t="s">
        <v>6739</v>
      </c>
      <c r="H52" s="8">
        <v>1</v>
      </c>
      <c r="I52" s="5"/>
      <c r="J52" s="5" t="s">
        <v>6740</v>
      </c>
    </row>
    <row r="53" spans="1:10" ht="50.1" customHeight="1" x14ac:dyDescent="0.2">
      <c r="A53" s="5" t="s">
        <v>6786</v>
      </c>
      <c r="B53" s="5" t="s">
        <v>2301</v>
      </c>
      <c r="C53" s="5" t="s">
        <v>6786</v>
      </c>
      <c r="D53" s="5" t="s">
        <v>258</v>
      </c>
      <c r="E53" s="5" t="s">
        <v>3752</v>
      </c>
      <c r="F53" s="5" t="s">
        <v>6738</v>
      </c>
      <c r="G53" s="5" t="s">
        <v>6739</v>
      </c>
      <c r="H53" s="8">
        <v>1</v>
      </c>
      <c r="I53" s="5"/>
      <c r="J53" s="5" t="s">
        <v>6740</v>
      </c>
    </row>
    <row r="54" spans="1:10" ht="50.1" customHeight="1" x14ac:dyDescent="0.2">
      <c r="A54" s="5" t="s">
        <v>6787</v>
      </c>
      <c r="B54" s="5" t="s">
        <v>2301</v>
      </c>
      <c r="C54" s="5" t="s">
        <v>6787</v>
      </c>
      <c r="D54" s="5" t="s">
        <v>256</v>
      </c>
      <c r="E54" s="5" t="s">
        <v>3756</v>
      </c>
      <c r="F54" s="5" t="s">
        <v>6738</v>
      </c>
      <c r="G54" s="5" t="s">
        <v>6739</v>
      </c>
      <c r="H54" s="8">
        <v>1</v>
      </c>
      <c r="I54" s="5"/>
      <c r="J54" s="5" t="s">
        <v>6740</v>
      </c>
    </row>
    <row r="55" spans="1:10" ht="50.1" customHeight="1" x14ac:dyDescent="0.2">
      <c r="A55" s="5" t="s">
        <v>6788</v>
      </c>
      <c r="B55" s="5" t="s">
        <v>2301</v>
      </c>
      <c r="C55" s="5" t="s">
        <v>6788</v>
      </c>
      <c r="D55" s="5" t="s">
        <v>258</v>
      </c>
      <c r="E55" s="5" t="s">
        <v>3760</v>
      </c>
      <c r="F55" s="5" t="s">
        <v>6738</v>
      </c>
      <c r="G55" s="5" t="s">
        <v>6739</v>
      </c>
      <c r="H55" s="8">
        <v>1</v>
      </c>
      <c r="I55" s="5"/>
      <c r="J55" s="5" t="s">
        <v>6740</v>
      </c>
    </row>
    <row r="56" spans="1:10" ht="50.1" customHeight="1" x14ac:dyDescent="0.2">
      <c r="A56" s="5" t="s">
        <v>6789</v>
      </c>
      <c r="B56" s="5" t="s">
        <v>2301</v>
      </c>
      <c r="C56" s="5" t="s">
        <v>6789</v>
      </c>
      <c r="D56" s="5" t="s">
        <v>260</v>
      </c>
      <c r="E56" s="5" t="s">
        <v>3764</v>
      </c>
      <c r="F56" s="5" t="s">
        <v>6738</v>
      </c>
      <c r="G56" s="5" t="s">
        <v>6739</v>
      </c>
      <c r="H56" s="8">
        <v>1</v>
      </c>
      <c r="I56" s="5"/>
      <c r="J56" s="5" t="s">
        <v>6740</v>
      </c>
    </row>
    <row r="57" spans="1:10" ht="50.1" customHeight="1" x14ac:dyDescent="0.2">
      <c r="A57" s="5" t="s">
        <v>6790</v>
      </c>
      <c r="B57" s="5" t="s">
        <v>2301</v>
      </c>
      <c r="C57" s="5" t="s">
        <v>6790</v>
      </c>
      <c r="D57" s="5" t="s">
        <v>252</v>
      </c>
      <c r="E57" s="5" t="s">
        <v>3768</v>
      </c>
      <c r="F57" s="5" t="s">
        <v>6738</v>
      </c>
      <c r="G57" s="5" t="s">
        <v>6739</v>
      </c>
      <c r="H57" s="8">
        <v>1</v>
      </c>
      <c r="I57" s="5"/>
      <c r="J57" s="5" t="s">
        <v>6740</v>
      </c>
    </row>
    <row r="58" spans="1:10" ht="50.1" customHeight="1" x14ac:dyDescent="0.2">
      <c r="A58" s="5" t="s">
        <v>6791</v>
      </c>
      <c r="B58" s="5" t="s">
        <v>2301</v>
      </c>
      <c r="C58" s="5" t="s">
        <v>6791</v>
      </c>
      <c r="D58" s="5" t="s">
        <v>254</v>
      </c>
      <c r="E58" s="5" t="s">
        <v>3772</v>
      </c>
      <c r="F58" s="5" t="s">
        <v>6738</v>
      </c>
      <c r="G58" s="5" t="s">
        <v>6739</v>
      </c>
      <c r="H58" s="8">
        <v>1</v>
      </c>
      <c r="I58" s="5"/>
      <c r="J58" s="5" t="s">
        <v>6740</v>
      </c>
    </row>
    <row r="59" spans="1:10" ht="50.1" customHeight="1" x14ac:dyDescent="0.2">
      <c r="A59" s="5" t="s">
        <v>6792</v>
      </c>
      <c r="B59" s="5" t="s">
        <v>2301</v>
      </c>
      <c r="C59" s="5" t="s">
        <v>6792</v>
      </c>
      <c r="D59" s="5" t="s">
        <v>258</v>
      </c>
      <c r="E59" s="5" t="s">
        <v>3776</v>
      </c>
      <c r="F59" s="5" t="s">
        <v>6738</v>
      </c>
      <c r="G59" s="5" t="s">
        <v>6739</v>
      </c>
      <c r="H59" s="8">
        <v>1</v>
      </c>
      <c r="I59" s="5"/>
      <c r="J59" s="5" t="s">
        <v>6740</v>
      </c>
    </row>
    <row r="60" spans="1:10" ht="50.1" customHeight="1" x14ac:dyDescent="0.2">
      <c r="A60" s="5" t="s">
        <v>6793</v>
      </c>
      <c r="B60" s="5" t="s">
        <v>2301</v>
      </c>
      <c r="C60" s="5" t="s">
        <v>6793</v>
      </c>
      <c r="D60" s="5" t="s">
        <v>256</v>
      </c>
      <c r="E60" s="5" t="s">
        <v>3780</v>
      </c>
      <c r="F60" s="5" t="s">
        <v>6738</v>
      </c>
      <c r="G60" s="5" t="s">
        <v>6739</v>
      </c>
      <c r="H60" s="8">
        <v>1</v>
      </c>
      <c r="I60" s="5"/>
      <c r="J60" s="5" t="s">
        <v>6740</v>
      </c>
    </row>
    <row r="61" spans="1:10" ht="50.1" customHeight="1" x14ac:dyDescent="0.2">
      <c r="A61" s="5" t="s">
        <v>6794</v>
      </c>
      <c r="B61" s="5" t="s">
        <v>2301</v>
      </c>
      <c r="C61" s="5" t="s">
        <v>6794</v>
      </c>
      <c r="D61" s="5" t="s">
        <v>258</v>
      </c>
      <c r="E61" s="5" t="s">
        <v>3784</v>
      </c>
      <c r="F61" s="5" t="s">
        <v>6738</v>
      </c>
      <c r="G61" s="5" t="s">
        <v>6739</v>
      </c>
      <c r="H61" s="8">
        <v>1</v>
      </c>
      <c r="I61" s="5"/>
      <c r="J61" s="5" t="s">
        <v>6740</v>
      </c>
    </row>
    <row r="62" spans="1:10" ht="50.1" customHeight="1" x14ac:dyDescent="0.2">
      <c r="A62" s="5" t="s">
        <v>6795</v>
      </c>
      <c r="B62" s="5" t="s">
        <v>2301</v>
      </c>
      <c r="C62" s="5" t="s">
        <v>6795</v>
      </c>
      <c r="D62" s="5" t="s">
        <v>256</v>
      </c>
      <c r="E62" s="5" t="s">
        <v>3788</v>
      </c>
      <c r="F62" s="5" t="s">
        <v>6738</v>
      </c>
      <c r="G62" s="5" t="s">
        <v>6739</v>
      </c>
      <c r="H62" s="8">
        <v>1</v>
      </c>
      <c r="I62" s="5"/>
      <c r="J62" s="5" t="s">
        <v>6740</v>
      </c>
    </row>
    <row r="63" spans="1:10" ht="50.1" customHeight="1" x14ac:dyDescent="0.2">
      <c r="A63" s="5" t="s">
        <v>6796</v>
      </c>
      <c r="B63" s="5" t="s">
        <v>2301</v>
      </c>
      <c r="C63" s="5" t="s">
        <v>6796</v>
      </c>
      <c r="D63" s="5" t="s">
        <v>258</v>
      </c>
      <c r="E63" s="5" t="s">
        <v>3792</v>
      </c>
      <c r="F63" s="5" t="s">
        <v>6738</v>
      </c>
      <c r="G63" s="5" t="s">
        <v>6739</v>
      </c>
      <c r="H63" s="8">
        <v>1</v>
      </c>
      <c r="I63" s="5"/>
      <c r="J63" s="5" t="s">
        <v>6740</v>
      </c>
    </row>
    <row r="64" spans="1:10" ht="50.1" customHeight="1" x14ac:dyDescent="0.2">
      <c r="A64" s="5" t="s">
        <v>6797</v>
      </c>
      <c r="B64" s="5" t="s">
        <v>2301</v>
      </c>
      <c r="C64" s="5" t="s">
        <v>6797</v>
      </c>
      <c r="D64" s="5" t="s">
        <v>260</v>
      </c>
      <c r="E64" s="5" t="s">
        <v>3796</v>
      </c>
      <c r="F64" s="5" t="s">
        <v>6738</v>
      </c>
      <c r="G64" s="5" t="s">
        <v>6739</v>
      </c>
      <c r="H64" s="8">
        <v>1</v>
      </c>
      <c r="I64" s="5"/>
      <c r="J64" s="5" t="s">
        <v>6740</v>
      </c>
    </row>
    <row r="65" spans="1:10" ht="50.1" customHeight="1" x14ac:dyDescent="0.2">
      <c r="A65" s="5" t="s">
        <v>6798</v>
      </c>
      <c r="B65" s="5" t="s">
        <v>2301</v>
      </c>
      <c r="C65" s="5" t="s">
        <v>6798</v>
      </c>
      <c r="D65" s="5" t="s">
        <v>252</v>
      </c>
      <c r="E65" s="5" t="s">
        <v>3800</v>
      </c>
      <c r="F65" s="5" t="s">
        <v>6738</v>
      </c>
      <c r="G65" s="5" t="s">
        <v>6739</v>
      </c>
      <c r="H65" s="8">
        <v>1</v>
      </c>
      <c r="I65" s="5"/>
      <c r="J65" s="5" t="s">
        <v>6740</v>
      </c>
    </row>
    <row r="66" spans="1:10" ht="50.1" customHeight="1" x14ac:dyDescent="0.2">
      <c r="A66" s="5" t="s">
        <v>6799</v>
      </c>
      <c r="B66" s="5" t="s">
        <v>2301</v>
      </c>
      <c r="C66" s="5" t="s">
        <v>6799</v>
      </c>
      <c r="D66" s="5" t="s">
        <v>254</v>
      </c>
      <c r="E66" s="5" t="s">
        <v>3804</v>
      </c>
      <c r="F66" s="5" t="s">
        <v>6738</v>
      </c>
      <c r="G66" s="5" t="s">
        <v>6739</v>
      </c>
      <c r="H66" s="8">
        <v>1</v>
      </c>
      <c r="I66" s="5"/>
      <c r="J66" s="5" t="s">
        <v>6740</v>
      </c>
    </row>
    <row r="67" spans="1:10" ht="50.1" customHeight="1" x14ac:dyDescent="0.2">
      <c r="A67" s="5" t="s">
        <v>6800</v>
      </c>
      <c r="B67" s="5" t="s">
        <v>2301</v>
      </c>
      <c r="C67" s="5" t="s">
        <v>6800</v>
      </c>
      <c r="D67" s="5" t="s">
        <v>258</v>
      </c>
      <c r="E67" s="5" t="s">
        <v>3808</v>
      </c>
      <c r="F67" s="5" t="s">
        <v>6738</v>
      </c>
      <c r="G67" s="5" t="s">
        <v>6739</v>
      </c>
      <c r="H67" s="8">
        <v>1</v>
      </c>
      <c r="I67" s="5"/>
      <c r="J67" s="5" t="s">
        <v>6740</v>
      </c>
    </row>
    <row r="68" spans="1:10" ht="50.1" customHeight="1" x14ac:dyDescent="0.2">
      <c r="A68" s="5" t="s">
        <v>6801</v>
      </c>
      <c r="B68" s="5" t="s">
        <v>2301</v>
      </c>
      <c r="C68" s="5" t="s">
        <v>6801</v>
      </c>
      <c r="D68" s="5" t="s">
        <v>256</v>
      </c>
      <c r="E68" s="5" t="s">
        <v>3812</v>
      </c>
      <c r="F68" s="5" t="s">
        <v>6738</v>
      </c>
      <c r="G68" s="5" t="s">
        <v>6739</v>
      </c>
      <c r="H68" s="8">
        <v>1</v>
      </c>
      <c r="I68" s="5"/>
      <c r="J68" s="5" t="s">
        <v>6740</v>
      </c>
    </row>
    <row r="69" spans="1:10" ht="50.1" customHeight="1" x14ac:dyDescent="0.2">
      <c r="A69" s="5" t="s">
        <v>6802</v>
      </c>
      <c r="B69" s="5" t="s">
        <v>2301</v>
      </c>
      <c r="C69" s="5" t="s">
        <v>6802</v>
      </c>
      <c r="D69" s="5" t="s">
        <v>258</v>
      </c>
      <c r="E69" s="5" t="s">
        <v>3816</v>
      </c>
      <c r="F69" s="5" t="s">
        <v>6738</v>
      </c>
      <c r="G69" s="5" t="s">
        <v>6739</v>
      </c>
      <c r="H69" s="8">
        <v>1</v>
      </c>
      <c r="I69" s="5"/>
      <c r="J69" s="5" t="s">
        <v>6740</v>
      </c>
    </row>
    <row r="70" spans="1:10" ht="50.1" customHeight="1" x14ac:dyDescent="0.2">
      <c r="A70" s="5" t="s">
        <v>6803</v>
      </c>
      <c r="B70" s="5" t="s">
        <v>2301</v>
      </c>
      <c r="C70" s="5" t="s">
        <v>6803</v>
      </c>
      <c r="D70" s="5" t="s">
        <v>256</v>
      </c>
      <c r="E70" s="5" t="s">
        <v>3820</v>
      </c>
      <c r="F70" s="5" t="s">
        <v>6738</v>
      </c>
      <c r="G70" s="5" t="s">
        <v>6739</v>
      </c>
      <c r="H70" s="8">
        <v>1</v>
      </c>
      <c r="I70" s="5"/>
      <c r="J70" s="5" t="s">
        <v>6740</v>
      </c>
    </row>
    <row r="71" spans="1:10" ht="50.1" customHeight="1" x14ac:dyDescent="0.2">
      <c r="A71" s="5" t="s">
        <v>6804</v>
      </c>
      <c r="B71" s="5" t="s">
        <v>2301</v>
      </c>
      <c r="C71" s="5" t="s">
        <v>6804</v>
      </c>
      <c r="D71" s="5" t="s">
        <v>258</v>
      </c>
      <c r="E71" s="5" t="s">
        <v>3824</v>
      </c>
      <c r="F71" s="5" t="s">
        <v>6738</v>
      </c>
      <c r="G71" s="5" t="s">
        <v>6739</v>
      </c>
      <c r="H71" s="8">
        <v>1</v>
      </c>
      <c r="I71" s="5"/>
      <c r="J71" s="5" t="s">
        <v>6740</v>
      </c>
    </row>
    <row r="72" spans="1:10" ht="50.1" customHeight="1" x14ac:dyDescent="0.2">
      <c r="A72" s="5" t="s">
        <v>6805</v>
      </c>
      <c r="B72" s="5" t="s">
        <v>2301</v>
      </c>
      <c r="C72" s="5" t="s">
        <v>6805</v>
      </c>
      <c r="D72" s="5" t="s">
        <v>260</v>
      </c>
      <c r="E72" s="5" t="s">
        <v>3828</v>
      </c>
      <c r="F72" s="5" t="s">
        <v>6738</v>
      </c>
      <c r="G72" s="5" t="s">
        <v>6739</v>
      </c>
      <c r="H72" s="8">
        <v>1</v>
      </c>
      <c r="I72" s="5"/>
      <c r="J72" s="5" t="s">
        <v>6740</v>
      </c>
    </row>
    <row r="73" spans="1:10" ht="50.1" customHeight="1" x14ac:dyDescent="0.2">
      <c r="A73" s="5" t="s">
        <v>6806</v>
      </c>
      <c r="B73" s="5" t="s">
        <v>2301</v>
      </c>
      <c r="C73" s="5" t="s">
        <v>6806</v>
      </c>
      <c r="D73" s="5" t="s">
        <v>254</v>
      </c>
      <c r="E73" s="5" t="s">
        <v>3572</v>
      </c>
      <c r="F73" s="5" t="s">
        <v>2338</v>
      </c>
      <c r="G73" s="5" t="s">
        <v>6807</v>
      </c>
      <c r="H73" s="8">
        <v>1</v>
      </c>
      <c r="I73" s="5"/>
      <c r="J73" s="5" t="s">
        <v>6808</v>
      </c>
    </row>
    <row r="74" spans="1:10" ht="50.1" customHeight="1" x14ac:dyDescent="0.2">
      <c r="A74" s="5" t="s">
        <v>6809</v>
      </c>
      <c r="B74" s="5" t="s">
        <v>2301</v>
      </c>
      <c r="C74" s="5" t="s">
        <v>6809</v>
      </c>
      <c r="D74" s="5" t="s">
        <v>258</v>
      </c>
      <c r="E74" s="5" t="s">
        <v>3577</v>
      </c>
      <c r="F74" s="5" t="s">
        <v>2338</v>
      </c>
      <c r="G74" s="5" t="s">
        <v>6807</v>
      </c>
      <c r="H74" s="8">
        <v>1</v>
      </c>
      <c r="I74" s="5"/>
      <c r="J74" s="5" t="s">
        <v>6808</v>
      </c>
    </row>
    <row r="75" spans="1:10" ht="50.1" customHeight="1" x14ac:dyDescent="0.2">
      <c r="A75" s="5" t="s">
        <v>6810</v>
      </c>
      <c r="B75" s="5" t="s">
        <v>2301</v>
      </c>
      <c r="C75" s="5" t="s">
        <v>6810</v>
      </c>
      <c r="D75" s="5" t="s">
        <v>258</v>
      </c>
      <c r="E75" s="5" t="s">
        <v>3590</v>
      </c>
      <c r="F75" s="5" t="s">
        <v>2338</v>
      </c>
      <c r="G75" s="5" t="s">
        <v>6807</v>
      </c>
      <c r="H75" s="8">
        <v>1</v>
      </c>
      <c r="I75" s="5"/>
      <c r="J75" s="5" t="s">
        <v>6808</v>
      </c>
    </row>
    <row r="76" spans="1:10" ht="50.1" customHeight="1" x14ac:dyDescent="0.2">
      <c r="A76" s="5" t="s">
        <v>6811</v>
      </c>
      <c r="B76" s="5" t="s">
        <v>2301</v>
      </c>
      <c r="C76" s="5" t="s">
        <v>6811</v>
      </c>
      <c r="D76" s="5" t="s">
        <v>262</v>
      </c>
      <c r="E76" s="5" t="s">
        <v>3600</v>
      </c>
      <c r="F76" s="5" t="s">
        <v>2338</v>
      </c>
      <c r="G76" s="5" t="s">
        <v>6807</v>
      </c>
      <c r="H76" s="8">
        <v>1</v>
      </c>
      <c r="I76" s="5"/>
      <c r="J76" s="5" t="s">
        <v>6808</v>
      </c>
    </row>
    <row r="77" spans="1:10" ht="50.1" customHeight="1" x14ac:dyDescent="0.2">
      <c r="A77" s="5" t="s">
        <v>6812</v>
      </c>
      <c r="B77" s="5" t="s">
        <v>2301</v>
      </c>
      <c r="C77" s="5" t="s">
        <v>6812</v>
      </c>
      <c r="D77" s="5" t="s">
        <v>254</v>
      </c>
      <c r="E77" s="5" t="s">
        <v>3608</v>
      </c>
      <c r="F77" s="5" t="s">
        <v>2338</v>
      </c>
      <c r="G77" s="5" t="s">
        <v>6807</v>
      </c>
      <c r="H77" s="8">
        <v>1</v>
      </c>
      <c r="I77" s="5"/>
      <c r="J77" s="5" t="s">
        <v>6808</v>
      </c>
    </row>
    <row r="78" spans="1:10" ht="50.1" customHeight="1" x14ac:dyDescent="0.2">
      <c r="A78" s="5" t="s">
        <v>6813</v>
      </c>
      <c r="B78" s="5" t="s">
        <v>2301</v>
      </c>
      <c r="C78" s="5" t="s">
        <v>6813</v>
      </c>
      <c r="D78" s="5" t="s">
        <v>258</v>
      </c>
      <c r="E78" s="5" t="s">
        <v>3612</v>
      </c>
      <c r="F78" s="5" t="s">
        <v>2338</v>
      </c>
      <c r="G78" s="5" t="s">
        <v>6807</v>
      </c>
      <c r="H78" s="8">
        <v>1</v>
      </c>
      <c r="I78" s="5"/>
      <c r="J78" s="5" t="s">
        <v>6808</v>
      </c>
    </row>
    <row r="79" spans="1:10" ht="50.1" customHeight="1" x14ac:dyDescent="0.2">
      <c r="A79" s="5" t="s">
        <v>6814</v>
      </c>
      <c r="B79" s="5" t="s">
        <v>2301</v>
      </c>
      <c r="C79" s="5" t="s">
        <v>6814</v>
      </c>
      <c r="D79" s="5" t="s">
        <v>258</v>
      </c>
      <c r="E79" s="5" t="s">
        <v>3624</v>
      </c>
      <c r="F79" s="5" t="s">
        <v>2338</v>
      </c>
      <c r="G79" s="5" t="s">
        <v>6807</v>
      </c>
      <c r="H79" s="8">
        <v>1</v>
      </c>
      <c r="I79" s="5"/>
      <c r="J79" s="5" t="s">
        <v>6808</v>
      </c>
    </row>
    <row r="80" spans="1:10" ht="50.1" customHeight="1" x14ac:dyDescent="0.2">
      <c r="A80" s="5" t="s">
        <v>6815</v>
      </c>
      <c r="B80" s="5" t="s">
        <v>2301</v>
      </c>
      <c r="C80" s="5" t="s">
        <v>6815</v>
      </c>
      <c r="D80" s="5" t="s">
        <v>262</v>
      </c>
      <c r="E80" s="5" t="s">
        <v>3632</v>
      </c>
      <c r="F80" s="5" t="s">
        <v>2338</v>
      </c>
      <c r="G80" s="5" t="s">
        <v>6807</v>
      </c>
      <c r="H80" s="8">
        <v>1</v>
      </c>
      <c r="I80" s="5"/>
      <c r="J80" s="5" t="s">
        <v>6808</v>
      </c>
    </row>
    <row r="81" spans="1:10" ht="50.1" customHeight="1" x14ac:dyDescent="0.2">
      <c r="A81" s="5" t="s">
        <v>6816</v>
      </c>
      <c r="B81" s="5" t="s">
        <v>2301</v>
      </c>
      <c r="C81" s="5" t="s">
        <v>6816</v>
      </c>
      <c r="D81" s="5" t="s">
        <v>254</v>
      </c>
      <c r="E81" s="5" t="s">
        <v>3640</v>
      </c>
      <c r="F81" s="5" t="s">
        <v>2338</v>
      </c>
      <c r="G81" s="5" t="s">
        <v>6807</v>
      </c>
      <c r="H81" s="8">
        <v>1</v>
      </c>
      <c r="I81" s="5"/>
      <c r="J81" s="5" t="s">
        <v>6808</v>
      </c>
    </row>
    <row r="82" spans="1:10" ht="50.1" customHeight="1" x14ac:dyDescent="0.2">
      <c r="A82" s="5" t="s">
        <v>6817</v>
      </c>
      <c r="B82" s="5" t="s">
        <v>2301</v>
      </c>
      <c r="C82" s="5" t="s">
        <v>6817</v>
      </c>
      <c r="D82" s="5" t="s">
        <v>258</v>
      </c>
      <c r="E82" s="5" t="s">
        <v>3644</v>
      </c>
      <c r="F82" s="5" t="s">
        <v>2338</v>
      </c>
      <c r="G82" s="5" t="s">
        <v>6807</v>
      </c>
      <c r="H82" s="8">
        <v>1</v>
      </c>
      <c r="I82" s="5"/>
      <c r="J82" s="5" t="s">
        <v>6808</v>
      </c>
    </row>
    <row r="83" spans="1:10" ht="50.1" customHeight="1" x14ac:dyDescent="0.2">
      <c r="A83" s="5" t="s">
        <v>6818</v>
      </c>
      <c r="B83" s="5" t="s">
        <v>2301</v>
      </c>
      <c r="C83" s="5" t="s">
        <v>6818</v>
      </c>
      <c r="D83" s="5" t="s">
        <v>258</v>
      </c>
      <c r="E83" s="5" t="s">
        <v>3656</v>
      </c>
      <c r="F83" s="5" t="s">
        <v>2338</v>
      </c>
      <c r="G83" s="5" t="s">
        <v>6807</v>
      </c>
      <c r="H83" s="8">
        <v>1</v>
      </c>
      <c r="I83" s="5"/>
      <c r="J83" s="5" t="s">
        <v>6808</v>
      </c>
    </row>
    <row r="84" spans="1:10" ht="50.1" customHeight="1" x14ac:dyDescent="0.2">
      <c r="A84" s="5" t="s">
        <v>6819</v>
      </c>
      <c r="B84" s="5" t="s">
        <v>2301</v>
      </c>
      <c r="C84" s="5" t="s">
        <v>6819</v>
      </c>
      <c r="D84" s="5" t="s">
        <v>262</v>
      </c>
      <c r="E84" s="5" t="s">
        <v>3664</v>
      </c>
      <c r="F84" s="5" t="s">
        <v>2338</v>
      </c>
      <c r="G84" s="5" t="s">
        <v>6807</v>
      </c>
      <c r="H84" s="8">
        <v>1</v>
      </c>
      <c r="I84" s="5"/>
      <c r="J84" s="5" t="s">
        <v>6808</v>
      </c>
    </row>
    <row r="85" spans="1:10" ht="50.1" customHeight="1" x14ac:dyDescent="0.2">
      <c r="A85" s="5" t="s">
        <v>6820</v>
      </c>
      <c r="B85" s="5" t="s">
        <v>2301</v>
      </c>
      <c r="C85" s="5" t="s">
        <v>6820</v>
      </c>
      <c r="D85" s="5" t="s">
        <v>254</v>
      </c>
      <c r="E85" s="5" t="s">
        <v>3672</v>
      </c>
      <c r="F85" s="5" t="s">
        <v>2338</v>
      </c>
      <c r="G85" s="5" t="s">
        <v>6807</v>
      </c>
      <c r="H85" s="8">
        <v>1</v>
      </c>
      <c r="I85" s="5"/>
      <c r="J85" s="5" t="s">
        <v>6808</v>
      </c>
    </row>
    <row r="86" spans="1:10" ht="50.1" customHeight="1" x14ac:dyDescent="0.2">
      <c r="A86" s="5" t="s">
        <v>6821</v>
      </c>
      <c r="B86" s="5" t="s">
        <v>2301</v>
      </c>
      <c r="C86" s="5" t="s">
        <v>6821</v>
      </c>
      <c r="D86" s="5" t="s">
        <v>258</v>
      </c>
      <c r="E86" s="5" t="s">
        <v>3676</v>
      </c>
      <c r="F86" s="5" t="s">
        <v>2338</v>
      </c>
      <c r="G86" s="5" t="s">
        <v>6807</v>
      </c>
      <c r="H86" s="8">
        <v>1</v>
      </c>
      <c r="I86" s="5"/>
      <c r="J86" s="5" t="s">
        <v>6808</v>
      </c>
    </row>
    <row r="87" spans="1:10" ht="50.1" customHeight="1" x14ac:dyDescent="0.2">
      <c r="A87" s="5" t="s">
        <v>6822</v>
      </c>
      <c r="B87" s="5" t="s">
        <v>2301</v>
      </c>
      <c r="C87" s="5" t="s">
        <v>6822</v>
      </c>
      <c r="D87" s="5" t="s">
        <v>258</v>
      </c>
      <c r="E87" s="5" t="s">
        <v>3688</v>
      </c>
      <c r="F87" s="5" t="s">
        <v>2338</v>
      </c>
      <c r="G87" s="5" t="s">
        <v>6807</v>
      </c>
      <c r="H87" s="8">
        <v>1</v>
      </c>
      <c r="I87" s="5"/>
      <c r="J87" s="5" t="s">
        <v>6808</v>
      </c>
    </row>
    <row r="88" spans="1:10" ht="50.1" customHeight="1" x14ac:dyDescent="0.2">
      <c r="A88" s="5" t="s">
        <v>6823</v>
      </c>
      <c r="B88" s="5" t="s">
        <v>2301</v>
      </c>
      <c r="C88" s="5" t="s">
        <v>6823</v>
      </c>
      <c r="D88" s="5" t="s">
        <v>262</v>
      </c>
      <c r="E88" s="5" t="s">
        <v>3696</v>
      </c>
      <c r="F88" s="5" t="s">
        <v>2338</v>
      </c>
      <c r="G88" s="5" t="s">
        <v>6807</v>
      </c>
      <c r="H88" s="8">
        <v>1</v>
      </c>
      <c r="I88" s="5"/>
      <c r="J88" s="5" t="s">
        <v>6808</v>
      </c>
    </row>
    <row r="89" spans="1:10" ht="50.1" customHeight="1" x14ac:dyDescent="0.2">
      <c r="A89" s="5" t="s">
        <v>6824</v>
      </c>
      <c r="B89" s="5" t="s">
        <v>2301</v>
      </c>
      <c r="C89" s="5" t="s">
        <v>6824</v>
      </c>
      <c r="D89" s="5" t="s">
        <v>254</v>
      </c>
      <c r="E89" s="5" t="s">
        <v>3704</v>
      </c>
      <c r="F89" s="5" t="s">
        <v>2338</v>
      </c>
      <c r="G89" s="5" t="s">
        <v>6807</v>
      </c>
      <c r="H89" s="8">
        <v>1</v>
      </c>
      <c r="I89" s="5"/>
      <c r="J89" s="5" t="s">
        <v>6808</v>
      </c>
    </row>
    <row r="90" spans="1:10" ht="50.1" customHeight="1" x14ac:dyDescent="0.2">
      <c r="A90" s="5" t="s">
        <v>6825</v>
      </c>
      <c r="B90" s="5" t="s">
        <v>2301</v>
      </c>
      <c r="C90" s="5" t="s">
        <v>6825</v>
      </c>
      <c r="D90" s="5" t="s">
        <v>258</v>
      </c>
      <c r="E90" s="5" t="s">
        <v>3708</v>
      </c>
      <c r="F90" s="5" t="s">
        <v>2338</v>
      </c>
      <c r="G90" s="5" t="s">
        <v>6807</v>
      </c>
      <c r="H90" s="8">
        <v>1</v>
      </c>
      <c r="I90" s="5"/>
      <c r="J90" s="5" t="s">
        <v>6808</v>
      </c>
    </row>
    <row r="91" spans="1:10" ht="50.1" customHeight="1" x14ac:dyDescent="0.2">
      <c r="A91" s="5" t="s">
        <v>6826</v>
      </c>
      <c r="B91" s="5" t="s">
        <v>2301</v>
      </c>
      <c r="C91" s="5" t="s">
        <v>6826</v>
      </c>
      <c r="D91" s="5" t="s">
        <v>258</v>
      </c>
      <c r="E91" s="5" t="s">
        <v>3720</v>
      </c>
      <c r="F91" s="5" t="s">
        <v>2338</v>
      </c>
      <c r="G91" s="5" t="s">
        <v>6807</v>
      </c>
      <c r="H91" s="8">
        <v>1</v>
      </c>
      <c r="I91" s="5"/>
      <c r="J91" s="5" t="s">
        <v>6808</v>
      </c>
    </row>
    <row r="92" spans="1:10" ht="50.1" customHeight="1" x14ac:dyDescent="0.2">
      <c r="A92" s="5" t="s">
        <v>6827</v>
      </c>
      <c r="B92" s="5" t="s">
        <v>2301</v>
      </c>
      <c r="C92" s="5" t="s">
        <v>6827</v>
      </c>
      <c r="D92" s="5" t="s">
        <v>262</v>
      </c>
      <c r="E92" s="5" t="s">
        <v>3728</v>
      </c>
      <c r="F92" s="5" t="s">
        <v>2338</v>
      </c>
      <c r="G92" s="5" t="s">
        <v>6807</v>
      </c>
      <c r="H92" s="8">
        <v>1</v>
      </c>
      <c r="I92" s="5"/>
      <c r="J92" s="5" t="s">
        <v>6808</v>
      </c>
    </row>
    <row r="93" spans="1:10" ht="50.1" customHeight="1" x14ac:dyDescent="0.2">
      <c r="A93" s="5" t="s">
        <v>6828</v>
      </c>
      <c r="B93" s="5" t="s">
        <v>2301</v>
      </c>
      <c r="C93" s="5" t="s">
        <v>6828</v>
      </c>
      <c r="D93" s="5" t="s">
        <v>254</v>
      </c>
      <c r="E93" s="5" t="s">
        <v>3736</v>
      </c>
      <c r="F93" s="5" t="s">
        <v>2338</v>
      </c>
      <c r="G93" s="5" t="s">
        <v>6807</v>
      </c>
      <c r="H93" s="8">
        <v>1</v>
      </c>
      <c r="I93" s="5"/>
      <c r="J93" s="5" t="s">
        <v>6808</v>
      </c>
    </row>
    <row r="94" spans="1:10" ht="50.1" customHeight="1" x14ac:dyDescent="0.2">
      <c r="A94" s="5" t="s">
        <v>6829</v>
      </c>
      <c r="B94" s="5" t="s">
        <v>2301</v>
      </c>
      <c r="C94" s="5" t="s">
        <v>6829</v>
      </c>
      <c r="D94" s="5" t="s">
        <v>258</v>
      </c>
      <c r="E94" s="5" t="s">
        <v>3740</v>
      </c>
      <c r="F94" s="5" t="s">
        <v>2338</v>
      </c>
      <c r="G94" s="5" t="s">
        <v>6807</v>
      </c>
      <c r="H94" s="8">
        <v>1</v>
      </c>
      <c r="I94" s="5"/>
      <c r="J94" s="5" t="s">
        <v>6808</v>
      </c>
    </row>
    <row r="95" spans="1:10" ht="50.1" customHeight="1" x14ac:dyDescent="0.2">
      <c r="A95" s="5" t="s">
        <v>6830</v>
      </c>
      <c r="B95" s="5" t="s">
        <v>2301</v>
      </c>
      <c r="C95" s="5" t="s">
        <v>6830</v>
      </c>
      <c r="D95" s="5" t="s">
        <v>258</v>
      </c>
      <c r="E95" s="5" t="s">
        <v>3752</v>
      </c>
      <c r="F95" s="5" t="s">
        <v>2338</v>
      </c>
      <c r="G95" s="5" t="s">
        <v>6807</v>
      </c>
      <c r="H95" s="8">
        <v>1</v>
      </c>
      <c r="I95" s="5"/>
      <c r="J95" s="5" t="s">
        <v>6808</v>
      </c>
    </row>
    <row r="96" spans="1:10" ht="50.1" customHeight="1" x14ac:dyDescent="0.2">
      <c r="A96" s="5" t="s">
        <v>6831</v>
      </c>
      <c r="B96" s="5" t="s">
        <v>2301</v>
      </c>
      <c r="C96" s="5" t="s">
        <v>6831</v>
      </c>
      <c r="D96" s="5" t="s">
        <v>262</v>
      </c>
      <c r="E96" s="5" t="s">
        <v>3760</v>
      </c>
      <c r="F96" s="5" t="s">
        <v>2338</v>
      </c>
      <c r="G96" s="5" t="s">
        <v>6807</v>
      </c>
      <c r="H96" s="8">
        <v>1</v>
      </c>
      <c r="I96" s="5"/>
      <c r="J96" s="5" t="s">
        <v>6808</v>
      </c>
    </row>
    <row r="97" spans="1:10" ht="50.1" customHeight="1" x14ac:dyDescent="0.2">
      <c r="A97" s="5" t="s">
        <v>6832</v>
      </c>
      <c r="B97" s="5" t="s">
        <v>2301</v>
      </c>
      <c r="C97" s="5" t="s">
        <v>6832</v>
      </c>
      <c r="D97" s="5" t="s">
        <v>254</v>
      </c>
      <c r="E97" s="5" t="s">
        <v>3768</v>
      </c>
      <c r="F97" s="5" t="s">
        <v>2338</v>
      </c>
      <c r="G97" s="5" t="s">
        <v>6807</v>
      </c>
      <c r="H97" s="8">
        <v>1</v>
      </c>
      <c r="I97" s="5"/>
      <c r="J97" s="5" t="s">
        <v>6808</v>
      </c>
    </row>
    <row r="98" spans="1:10" ht="50.1" customHeight="1" x14ac:dyDescent="0.2">
      <c r="A98" s="5" t="s">
        <v>6833</v>
      </c>
      <c r="B98" s="5" t="s">
        <v>2301</v>
      </c>
      <c r="C98" s="5" t="s">
        <v>6833</v>
      </c>
      <c r="D98" s="5" t="s">
        <v>258</v>
      </c>
      <c r="E98" s="5" t="s">
        <v>3772</v>
      </c>
      <c r="F98" s="5" t="s">
        <v>2338</v>
      </c>
      <c r="G98" s="5" t="s">
        <v>6807</v>
      </c>
      <c r="H98" s="8">
        <v>1</v>
      </c>
      <c r="I98" s="5"/>
      <c r="J98" s="5" t="s">
        <v>6808</v>
      </c>
    </row>
    <row r="99" spans="1:10" ht="50.1" customHeight="1" x14ac:dyDescent="0.2">
      <c r="A99" s="5" t="s">
        <v>6834</v>
      </c>
      <c r="B99" s="5" t="s">
        <v>2301</v>
      </c>
      <c r="C99" s="5" t="s">
        <v>6834</v>
      </c>
      <c r="D99" s="5" t="s">
        <v>258</v>
      </c>
      <c r="E99" s="5" t="s">
        <v>3784</v>
      </c>
      <c r="F99" s="5" t="s">
        <v>2338</v>
      </c>
      <c r="G99" s="5" t="s">
        <v>6807</v>
      </c>
      <c r="H99" s="8">
        <v>1</v>
      </c>
      <c r="I99" s="5"/>
      <c r="J99" s="5" t="s">
        <v>6808</v>
      </c>
    </row>
    <row r="100" spans="1:10" ht="50.1" customHeight="1" x14ac:dyDescent="0.2">
      <c r="A100" s="5" t="s">
        <v>6835</v>
      </c>
      <c r="B100" s="5" t="s">
        <v>2301</v>
      </c>
      <c r="C100" s="5" t="s">
        <v>6835</v>
      </c>
      <c r="D100" s="5" t="s">
        <v>262</v>
      </c>
      <c r="E100" s="5" t="s">
        <v>3792</v>
      </c>
      <c r="F100" s="5" t="s">
        <v>2338</v>
      </c>
      <c r="G100" s="5" t="s">
        <v>6807</v>
      </c>
      <c r="H100" s="8">
        <v>1</v>
      </c>
      <c r="I100" s="5"/>
      <c r="J100" s="5" t="s">
        <v>6808</v>
      </c>
    </row>
    <row r="101" spans="1:10" ht="50.1" customHeight="1" x14ac:dyDescent="0.2">
      <c r="A101" s="5" t="s">
        <v>6836</v>
      </c>
      <c r="B101" s="5" t="s">
        <v>2301</v>
      </c>
      <c r="C101" s="5" t="s">
        <v>6836</v>
      </c>
      <c r="D101" s="5" t="s">
        <v>254</v>
      </c>
      <c r="E101" s="5" t="s">
        <v>3800</v>
      </c>
      <c r="F101" s="5" t="s">
        <v>2338</v>
      </c>
      <c r="G101" s="5" t="s">
        <v>6807</v>
      </c>
      <c r="H101" s="8">
        <v>1</v>
      </c>
      <c r="I101" s="5"/>
      <c r="J101" s="5" t="s">
        <v>6808</v>
      </c>
    </row>
    <row r="102" spans="1:10" ht="50.1" customHeight="1" x14ac:dyDescent="0.2">
      <c r="A102" s="5" t="s">
        <v>6837</v>
      </c>
      <c r="B102" s="5" t="s">
        <v>2301</v>
      </c>
      <c r="C102" s="5" t="s">
        <v>6837</v>
      </c>
      <c r="D102" s="5" t="s">
        <v>258</v>
      </c>
      <c r="E102" s="5" t="s">
        <v>3804</v>
      </c>
      <c r="F102" s="5" t="s">
        <v>2338</v>
      </c>
      <c r="G102" s="5" t="s">
        <v>6807</v>
      </c>
      <c r="H102" s="8">
        <v>1</v>
      </c>
      <c r="I102" s="5"/>
      <c r="J102" s="5" t="s">
        <v>6808</v>
      </c>
    </row>
    <row r="103" spans="1:10" ht="50.1" customHeight="1" x14ac:dyDescent="0.2">
      <c r="A103" s="5" t="s">
        <v>6838</v>
      </c>
      <c r="B103" s="5" t="s">
        <v>2301</v>
      </c>
      <c r="C103" s="5" t="s">
        <v>6838</v>
      </c>
      <c r="D103" s="5" t="s">
        <v>258</v>
      </c>
      <c r="E103" s="5" t="s">
        <v>3816</v>
      </c>
      <c r="F103" s="5" t="s">
        <v>2338</v>
      </c>
      <c r="G103" s="5" t="s">
        <v>6807</v>
      </c>
      <c r="H103" s="8">
        <v>1</v>
      </c>
      <c r="I103" s="5"/>
      <c r="J103" s="5" t="s">
        <v>6808</v>
      </c>
    </row>
    <row r="104" spans="1:10" ht="50.1" customHeight="1" x14ac:dyDescent="0.2">
      <c r="A104" s="5" t="s">
        <v>6839</v>
      </c>
      <c r="B104" s="5" t="s">
        <v>2301</v>
      </c>
      <c r="C104" s="5" t="s">
        <v>6839</v>
      </c>
      <c r="D104" s="5" t="s">
        <v>262</v>
      </c>
      <c r="E104" s="5" t="s">
        <v>3824</v>
      </c>
      <c r="F104" s="5" t="s">
        <v>2338</v>
      </c>
      <c r="G104" s="5" t="s">
        <v>6807</v>
      </c>
      <c r="H104" s="8">
        <v>1</v>
      </c>
      <c r="I104" s="5"/>
      <c r="J104" s="5" t="s">
        <v>6808</v>
      </c>
    </row>
    <row r="105" spans="1:10" ht="50.1" customHeight="1" x14ac:dyDescent="0.2">
      <c r="A105" s="5" t="s">
        <v>6840</v>
      </c>
      <c r="B105" s="5" t="s">
        <v>264</v>
      </c>
      <c r="C105" s="5" t="s">
        <v>6840</v>
      </c>
      <c r="D105" s="5" t="s">
        <v>278</v>
      </c>
      <c r="E105" s="5" t="s">
        <v>3881</v>
      </c>
      <c r="F105" s="5" t="s">
        <v>6738</v>
      </c>
      <c r="G105" s="5" t="s">
        <v>6841</v>
      </c>
      <c r="H105" s="8">
        <v>99</v>
      </c>
      <c r="I105" s="5"/>
      <c r="J105" s="5" t="s">
        <v>6842</v>
      </c>
    </row>
    <row r="106" spans="1:10" ht="50.1" customHeight="1" x14ac:dyDescent="0.2">
      <c r="A106" s="5" t="s">
        <v>6843</v>
      </c>
      <c r="B106" s="5" t="s">
        <v>264</v>
      </c>
      <c r="C106" s="5" t="s">
        <v>6843</v>
      </c>
      <c r="D106" s="5" t="s">
        <v>278</v>
      </c>
      <c r="E106" s="5" t="s">
        <v>3886</v>
      </c>
      <c r="F106" s="5" t="s">
        <v>6738</v>
      </c>
      <c r="G106" s="5" t="s">
        <v>6841</v>
      </c>
      <c r="H106" s="8">
        <v>100</v>
      </c>
      <c r="I106" s="5"/>
      <c r="J106" s="5" t="s">
        <v>6842</v>
      </c>
    </row>
    <row r="107" spans="1:10" ht="50.1" customHeight="1" x14ac:dyDescent="0.2">
      <c r="A107" s="5" t="s">
        <v>6844</v>
      </c>
      <c r="B107" s="5" t="s">
        <v>264</v>
      </c>
      <c r="C107" s="5" t="s">
        <v>6844</v>
      </c>
      <c r="D107" s="5" t="s">
        <v>278</v>
      </c>
      <c r="E107" s="5" t="s">
        <v>3890</v>
      </c>
      <c r="F107" s="5" t="s">
        <v>6738</v>
      </c>
      <c r="G107" s="5" t="s">
        <v>6841</v>
      </c>
      <c r="H107" s="8">
        <v>101</v>
      </c>
      <c r="I107" s="5"/>
      <c r="J107" s="5" t="s">
        <v>6842</v>
      </c>
    </row>
    <row r="108" spans="1:10" ht="50.1" customHeight="1" x14ac:dyDescent="0.2">
      <c r="A108" s="5" t="s">
        <v>6845</v>
      </c>
      <c r="B108" s="5" t="s">
        <v>264</v>
      </c>
      <c r="C108" s="5" t="s">
        <v>6845</v>
      </c>
      <c r="D108" s="5" t="s">
        <v>278</v>
      </c>
      <c r="E108" s="5" t="s">
        <v>3894</v>
      </c>
      <c r="F108" s="5" t="s">
        <v>6738</v>
      </c>
      <c r="G108" s="5" t="s">
        <v>6841</v>
      </c>
      <c r="H108" s="8">
        <v>102</v>
      </c>
      <c r="I108" s="5"/>
      <c r="J108" s="5" t="s">
        <v>6842</v>
      </c>
    </row>
    <row r="109" spans="1:10" ht="50.1" customHeight="1" x14ac:dyDescent="0.2">
      <c r="A109" s="5" t="s">
        <v>6846</v>
      </c>
      <c r="B109" s="5" t="s">
        <v>264</v>
      </c>
      <c r="C109" s="5" t="s">
        <v>6846</v>
      </c>
      <c r="D109" s="5" t="s">
        <v>278</v>
      </c>
      <c r="E109" s="5" t="s">
        <v>3898</v>
      </c>
      <c r="F109" s="5" t="s">
        <v>6738</v>
      </c>
      <c r="G109" s="5" t="s">
        <v>6841</v>
      </c>
      <c r="H109" s="8">
        <v>103</v>
      </c>
      <c r="I109" s="5"/>
      <c r="J109" s="5" t="s">
        <v>6842</v>
      </c>
    </row>
    <row r="110" spans="1:10" ht="50.1" customHeight="1" x14ac:dyDescent="0.2">
      <c r="A110" s="5" t="s">
        <v>6847</v>
      </c>
      <c r="B110" s="5" t="s">
        <v>264</v>
      </c>
      <c r="C110" s="5" t="s">
        <v>6847</v>
      </c>
      <c r="D110" s="5" t="s">
        <v>278</v>
      </c>
      <c r="E110" s="5" t="s">
        <v>3901</v>
      </c>
      <c r="F110" s="5" t="s">
        <v>6738</v>
      </c>
      <c r="G110" s="5" t="s">
        <v>6841</v>
      </c>
      <c r="H110" s="8">
        <v>104</v>
      </c>
      <c r="I110" s="5"/>
      <c r="J110" s="5" t="s">
        <v>6842</v>
      </c>
    </row>
    <row r="111" spans="1:10" ht="50.1" customHeight="1" x14ac:dyDescent="0.2">
      <c r="A111" s="5" t="s">
        <v>6848</v>
      </c>
      <c r="B111" s="5" t="s">
        <v>264</v>
      </c>
      <c r="C111" s="5" t="s">
        <v>6848</v>
      </c>
      <c r="D111" s="5" t="s">
        <v>278</v>
      </c>
      <c r="E111" s="5" t="s">
        <v>3904</v>
      </c>
      <c r="F111" s="5" t="s">
        <v>6738</v>
      </c>
      <c r="G111" s="5" t="s">
        <v>6841</v>
      </c>
      <c r="H111" s="8">
        <v>105</v>
      </c>
      <c r="I111" s="5"/>
      <c r="J111" s="5" t="s">
        <v>6842</v>
      </c>
    </row>
    <row r="112" spans="1:10" ht="50.1" customHeight="1" x14ac:dyDescent="0.2">
      <c r="A112" s="5" t="s">
        <v>6849</v>
      </c>
      <c r="B112" s="5" t="s">
        <v>264</v>
      </c>
      <c r="C112" s="5" t="s">
        <v>6849</v>
      </c>
      <c r="D112" s="5" t="s">
        <v>278</v>
      </c>
      <c r="E112" s="5" t="s">
        <v>3907</v>
      </c>
      <c r="F112" s="5" t="s">
        <v>6738</v>
      </c>
      <c r="G112" s="5" t="s">
        <v>6841</v>
      </c>
      <c r="H112" s="8">
        <v>106</v>
      </c>
      <c r="I112" s="5"/>
      <c r="J112" s="5" t="s">
        <v>6842</v>
      </c>
    </row>
    <row r="113" spans="1:10" ht="50.1" customHeight="1" x14ac:dyDescent="0.2">
      <c r="A113" s="5" t="s">
        <v>6850</v>
      </c>
      <c r="B113" s="5" t="s">
        <v>264</v>
      </c>
      <c r="C113" s="5" t="s">
        <v>6850</v>
      </c>
      <c r="D113" s="5" t="s">
        <v>278</v>
      </c>
      <c r="E113" s="5" t="s">
        <v>3911</v>
      </c>
      <c r="F113" s="5" t="s">
        <v>6738</v>
      </c>
      <c r="G113" s="5" t="s">
        <v>6841</v>
      </c>
      <c r="H113" s="8">
        <v>107</v>
      </c>
      <c r="I113" s="5"/>
      <c r="J113" s="5" t="s">
        <v>6842</v>
      </c>
    </row>
    <row r="114" spans="1:10" ht="50.1" customHeight="1" x14ac:dyDescent="0.2">
      <c r="A114" s="5" t="s">
        <v>6851</v>
      </c>
      <c r="B114" s="5" t="s">
        <v>264</v>
      </c>
      <c r="C114" s="5" t="s">
        <v>6851</v>
      </c>
      <c r="D114" s="5" t="s">
        <v>278</v>
      </c>
      <c r="E114" s="5" t="s">
        <v>3914</v>
      </c>
      <c r="F114" s="5" t="s">
        <v>6738</v>
      </c>
      <c r="G114" s="5" t="s">
        <v>6841</v>
      </c>
      <c r="H114" s="8">
        <v>108</v>
      </c>
      <c r="I114" s="5"/>
      <c r="J114" s="5" t="s">
        <v>6842</v>
      </c>
    </row>
    <row r="115" spans="1:10" ht="50.1" customHeight="1" x14ac:dyDescent="0.2">
      <c r="A115" s="5" t="s">
        <v>6852</v>
      </c>
      <c r="B115" s="5" t="s">
        <v>264</v>
      </c>
      <c r="C115" s="5" t="s">
        <v>6852</v>
      </c>
      <c r="D115" s="5" t="s">
        <v>278</v>
      </c>
      <c r="E115" s="5" t="s">
        <v>3918</v>
      </c>
      <c r="F115" s="5" t="s">
        <v>6738</v>
      </c>
      <c r="G115" s="5" t="s">
        <v>6841</v>
      </c>
      <c r="H115" s="8">
        <v>109</v>
      </c>
      <c r="I115" s="5"/>
      <c r="J115" s="5" t="s">
        <v>6842</v>
      </c>
    </row>
    <row r="116" spans="1:10" ht="50.1" customHeight="1" x14ac:dyDescent="0.2">
      <c r="A116" s="5" t="s">
        <v>6853</v>
      </c>
      <c r="B116" s="5" t="s">
        <v>264</v>
      </c>
      <c r="C116" s="5" t="s">
        <v>6853</v>
      </c>
      <c r="D116" s="5" t="s">
        <v>278</v>
      </c>
      <c r="E116" s="5" t="s">
        <v>3921</v>
      </c>
      <c r="F116" s="5" t="s">
        <v>6738</v>
      </c>
      <c r="G116" s="5" t="s">
        <v>6841</v>
      </c>
      <c r="H116" s="8">
        <v>110</v>
      </c>
      <c r="I116" s="5"/>
      <c r="J116" s="5" t="s">
        <v>6842</v>
      </c>
    </row>
    <row r="117" spans="1:10" ht="50.1" customHeight="1" x14ac:dyDescent="0.2">
      <c r="A117" s="5" t="s">
        <v>6854</v>
      </c>
      <c r="B117" s="5" t="s">
        <v>264</v>
      </c>
      <c r="C117" s="5" t="s">
        <v>6854</v>
      </c>
      <c r="D117" s="5" t="s">
        <v>278</v>
      </c>
      <c r="E117" s="5" t="s">
        <v>3925</v>
      </c>
      <c r="F117" s="5" t="s">
        <v>6738</v>
      </c>
      <c r="G117" s="5" t="s">
        <v>6841</v>
      </c>
      <c r="H117" s="8">
        <v>111</v>
      </c>
      <c r="I117" s="5"/>
      <c r="J117" s="5" t="s">
        <v>6842</v>
      </c>
    </row>
    <row r="118" spans="1:10" ht="50.1" customHeight="1" x14ac:dyDescent="0.2">
      <c r="A118" s="5" t="s">
        <v>6855</v>
      </c>
      <c r="B118" s="5" t="s">
        <v>264</v>
      </c>
      <c r="C118" s="5" t="s">
        <v>6855</v>
      </c>
      <c r="D118" s="5" t="s">
        <v>278</v>
      </c>
      <c r="E118" s="5" t="s">
        <v>3928</v>
      </c>
      <c r="F118" s="5" t="s">
        <v>6738</v>
      </c>
      <c r="G118" s="5" t="s">
        <v>6841</v>
      </c>
      <c r="H118" s="8">
        <v>112</v>
      </c>
      <c r="I118" s="5"/>
      <c r="J118" s="5" t="s">
        <v>6842</v>
      </c>
    </row>
    <row r="119" spans="1:10" ht="50.1" customHeight="1" x14ac:dyDescent="0.2">
      <c r="A119" s="5" t="s">
        <v>6856</v>
      </c>
      <c r="B119" s="5" t="s">
        <v>264</v>
      </c>
      <c r="C119" s="5" t="s">
        <v>6856</v>
      </c>
      <c r="D119" s="5" t="s">
        <v>278</v>
      </c>
      <c r="E119" s="5" t="s">
        <v>3932</v>
      </c>
      <c r="F119" s="5" t="s">
        <v>6738</v>
      </c>
      <c r="G119" s="5" t="s">
        <v>6841</v>
      </c>
      <c r="H119" s="8">
        <v>113</v>
      </c>
      <c r="I119" s="5"/>
      <c r="J119" s="5" t="s">
        <v>6842</v>
      </c>
    </row>
    <row r="120" spans="1:10" ht="50.1" customHeight="1" x14ac:dyDescent="0.2">
      <c r="A120" s="5" t="s">
        <v>6857</v>
      </c>
      <c r="B120" s="5" t="s">
        <v>264</v>
      </c>
      <c r="C120" s="5" t="s">
        <v>6857</v>
      </c>
      <c r="D120" s="5" t="s">
        <v>278</v>
      </c>
      <c r="E120" s="5" t="s">
        <v>3935</v>
      </c>
      <c r="F120" s="5" t="s">
        <v>6738</v>
      </c>
      <c r="G120" s="5" t="s">
        <v>6841</v>
      </c>
      <c r="H120" s="8">
        <v>114</v>
      </c>
      <c r="I120" s="5"/>
      <c r="J120" s="5" t="s">
        <v>6842</v>
      </c>
    </row>
    <row r="121" spans="1:10" ht="50.1" customHeight="1" x14ac:dyDescent="0.2">
      <c r="A121" s="5" t="s">
        <v>6858</v>
      </c>
      <c r="B121" s="5" t="s">
        <v>264</v>
      </c>
      <c r="C121" s="5" t="s">
        <v>6858</v>
      </c>
      <c r="D121" s="5" t="s">
        <v>278</v>
      </c>
      <c r="E121" s="5" t="s">
        <v>3939</v>
      </c>
      <c r="F121" s="5" t="s">
        <v>6738</v>
      </c>
      <c r="G121" s="5" t="s">
        <v>6841</v>
      </c>
      <c r="H121" s="8">
        <v>115</v>
      </c>
      <c r="I121" s="5"/>
      <c r="J121" s="5" t="s">
        <v>6842</v>
      </c>
    </row>
    <row r="122" spans="1:10" ht="50.1" customHeight="1" x14ac:dyDescent="0.2">
      <c r="A122" s="5" t="s">
        <v>6859</v>
      </c>
      <c r="B122" s="5" t="s">
        <v>264</v>
      </c>
      <c r="C122" s="5" t="s">
        <v>6859</v>
      </c>
      <c r="D122" s="5" t="s">
        <v>278</v>
      </c>
      <c r="E122" s="5" t="s">
        <v>3942</v>
      </c>
      <c r="F122" s="5" t="s">
        <v>6738</v>
      </c>
      <c r="G122" s="5" t="s">
        <v>6841</v>
      </c>
      <c r="H122" s="8">
        <v>116</v>
      </c>
      <c r="I122" s="5"/>
      <c r="J122" s="5" t="s">
        <v>6842</v>
      </c>
    </row>
    <row r="123" spans="1:10" ht="50.1" customHeight="1" x14ac:dyDescent="0.2">
      <c r="A123" s="5" t="s">
        <v>6860</v>
      </c>
      <c r="B123" s="5" t="s">
        <v>264</v>
      </c>
      <c r="C123" s="5" t="s">
        <v>6860</v>
      </c>
      <c r="D123" s="5" t="s">
        <v>278</v>
      </c>
      <c r="E123" s="5" t="s">
        <v>3946</v>
      </c>
      <c r="F123" s="5" t="s">
        <v>6738</v>
      </c>
      <c r="G123" s="5" t="s">
        <v>6841</v>
      </c>
      <c r="H123" s="8">
        <v>117</v>
      </c>
      <c r="I123" s="5"/>
      <c r="J123" s="5" t="s">
        <v>6842</v>
      </c>
    </row>
    <row r="124" spans="1:10" ht="50.1" customHeight="1" x14ac:dyDescent="0.2">
      <c r="A124" s="5" t="s">
        <v>6861</v>
      </c>
      <c r="B124" s="5" t="s">
        <v>264</v>
      </c>
      <c r="C124" s="5" t="s">
        <v>6861</v>
      </c>
      <c r="D124" s="5" t="s">
        <v>278</v>
      </c>
      <c r="E124" s="5" t="s">
        <v>3949</v>
      </c>
      <c r="F124" s="5" t="s">
        <v>6738</v>
      </c>
      <c r="G124" s="5" t="s">
        <v>6841</v>
      </c>
      <c r="H124" s="8">
        <v>118</v>
      </c>
      <c r="I124" s="5"/>
      <c r="J124" s="5" t="s">
        <v>6842</v>
      </c>
    </row>
    <row r="125" spans="1:10" ht="50.1" customHeight="1" x14ac:dyDescent="0.2">
      <c r="A125" s="5" t="s">
        <v>6862</v>
      </c>
      <c r="B125" s="5" t="s">
        <v>264</v>
      </c>
      <c r="C125" s="5" t="s">
        <v>6862</v>
      </c>
      <c r="D125" s="5" t="s">
        <v>278</v>
      </c>
      <c r="E125" s="5" t="s">
        <v>3953</v>
      </c>
      <c r="F125" s="5" t="s">
        <v>6738</v>
      </c>
      <c r="G125" s="5" t="s">
        <v>6841</v>
      </c>
      <c r="H125" s="8">
        <v>119</v>
      </c>
      <c r="I125" s="5"/>
      <c r="J125" s="5" t="s">
        <v>6842</v>
      </c>
    </row>
    <row r="126" spans="1:10" ht="50.1" customHeight="1" x14ac:dyDescent="0.2">
      <c r="A126" s="5" t="s">
        <v>6863</v>
      </c>
      <c r="B126" s="5" t="s">
        <v>264</v>
      </c>
      <c r="C126" s="5" t="s">
        <v>6863</v>
      </c>
      <c r="D126" s="5" t="s">
        <v>278</v>
      </c>
      <c r="E126" s="5" t="s">
        <v>3956</v>
      </c>
      <c r="F126" s="5" t="s">
        <v>6738</v>
      </c>
      <c r="G126" s="5" t="s">
        <v>6841</v>
      </c>
      <c r="H126" s="8">
        <v>120</v>
      </c>
      <c r="I126" s="5"/>
      <c r="J126" s="5" t="s">
        <v>6842</v>
      </c>
    </row>
    <row r="127" spans="1:10" ht="50.1" customHeight="1" x14ac:dyDescent="0.2">
      <c r="A127" s="5" t="s">
        <v>6864</v>
      </c>
      <c r="B127" s="5" t="s">
        <v>264</v>
      </c>
      <c r="C127" s="5" t="s">
        <v>6864</v>
      </c>
      <c r="D127" s="5" t="s">
        <v>278</v>
      </c>
      <c r="E127" s="5" t="s">
        <v>3960</v>
      </c>
      <c r="F127" s="5" t="s">
        <v>6738</v>
      </c>
      <c r="G127" s="5" t="s">
        <v>6841</v>
      </c>
      <c r="H127" s="8">
        <v>121</v>
      </c>
      <c r="I127" s="5"/>
      <c r="J127" s="5" t="s">
        <v>6842</v>
      </c>
    </row>
    <row r="128" spans="1:10" ht="50.1" customHeight="1" x14ac:dyDescent="0.2">
      <c r="A128" s="5" t="s">
        <v>6865</v>
      </c>
      <c r="B128" s="5" t="s">
        <v>264</v>
      </c>
      <c r="C128" s="5" t="s">
        <v>6865</v>
      </c>
      <c r="D128" s="5" t="s">
        <v>278</v>
      </c>
      <c r="E128" s="5" t="s">
        <v>3963</v>
      </c>
      <c r="F128" s="5" t="s">
        <v>6738</v>
      </c>
      <c r="G128" s="5" t="s">
        <v>6841</v>
      </c>
      <c r="H128" s="8">
        <v>122</v>
      </c>
      <c r="I128" s="5"/>
      <c r="J128" s="5" t="s">
        <v>6842</v>
      </c>
    </row>
    <row r="129" spans="1:10" ht="50.1" customHeight="1" x14ac:dyDescent="0.2">
      <c r="A129" s="5" t="s">
        <v>6866</v>
      </c>
      <c r="B129" s="5" t="s">
        <v>264</v>
      </c>
      <c r="C129" s="5" t="s">
        <v>6866</v>
      </c>
      <c r="D129" s="5" t="s">
        <v>278</v>
      </c>
      <c r="E129" s="5" t="s">
        <v>3967</v>
      </c>
      <c r="F129" s="5" t="s">
        <v>6738</v>
      </c>
      <c r="G129" s="5" t="s">
        <v>6841</v>
      </c>
      <c r="H129" s="8">
        <v>123</v>
      </c>
      <c r="I129" s="5"/>
      <c r="J129" s="5" t="s">
        <v>6842</v>
      </c>
    </row>
    <row r="130" spans="1:10" ht="50.1" customHeight="1" x14ac:dyDescent="0.2">
      <c r="A130" s="5" t="s">
        <v>6867</v>
      </c>
      <c r="B130" s="5" t="s">
        <v>264</v>
      </c>
      <c r="C130" s="5" t="s">
        <v>6867</v>
      </c>
      <c r="D130" s="5" t="s">
        <v>278</v>
      </c>
      <c r="E130" s="5" t="s">
        <v>3970</v>
      </c>
      <c r="F130" s="5" t="s">
        <v>6738</v>
      </c>
      <c r="G130" s="5" t="s">
        <v>6841</v>
      </c>
      <c r="H130" s="8">
        <v>124</v>
      </c>
      <c r="I130" s="5"/>
      <c r="J130" s="5" t="s">
        <v>6842</v>
      </c>
    </row>
    <row r="131" spans="1:10" ht="50.1" customHeight="1" x14ac:dyDescent="0.2">
      <c r="A131" s="5" t="s">
        <v>6868</v>
      </c>
      <c r="B131" s="5" t="s">
        <v>264</v>
      </c>
      <c r="C131" s="5" t="s">
        <v>6868</v>
      </c>
      <c r="D131" s="5" t="s">
        <v>278</v>
      </c>
      <c r="E131" s="5" t="s">
        <v>3974</v>
      </c>
      <c r="F131" s="5" t="s">
        <v>6738</v>
      </c>
      <c r="G131" s="5" t="s">
        <v>6841</v>
      </c>
      <c r="H131" s="8">
        <v>125</v>
      </c>
      <c r="I131" s="5"/>
      <c r="J131" s="5" t="s">
        <v>6842</v>
      </c>
    </row>
    <row r="132" spans="1:10" ht="50.1" customHeight="1" x14ac:dyDescent="0.2">
      <c r="A132" s="5" t="s">
        <v>6869</v>
      </c>
      <c r="B132" s="5" t="s">
        <v>264</v>
      </c>
      <c r="C132" s="5" t="s">
        <v>6869</v>
      </c>
      <c r="D132" s="5" t="s">
        <v>278</v>
      </c>
      <c r="E132" s="5" t="s">
        <v>3977</v>
      </c>
      <c r="F132" s="5" t="s">
        <v>6738</v>
      </c>
      <c r="G132" s="5" t="s">
        <v>6841</v>
      </c>
      <c r="H132" s="8">
        <v>126</v>
      </c>
      <c r="I132" s="5"/>
      <c r="J132" s="5" t="s">
        <v>6842</v>
      </c>
    </row>
    <row r="133" spans="1:10" ht="50.1" customHeight="1" x14ac:dyDescent="0.2">
      <c r="A133" s="5" t="s">
        <v>6870</v>
      </c>
      <c r="B133" s="5" t="s">
        <v>264</v>
      </c>
      <c r="C133" s="5" t="s">
        <v>6870</v>
      </c>
      <c r="D133" s="5" t="s">
        <v>278</v>
      </c>
      <c r="E133" s="5" t="s">
        <v>3981</v>
      </c>
      <c r="F133" s="5" t="s">
        <v>6738</v>
      </c>
      <c r="G133" s="5" t="s">
        <v>6841</v>
      </c>
      <c r="H133" s="8">
        <v>127</v>
      </c>
      <c r="I133" s="5"/>
      <c r="J133" s="5" t="s">
        <v>6842</v>
      </c>
    </row>
    <row r="134" spans="1:10" ht="50.1" customHeight="1" x14ac:dyDescent="0.2">
      <c r="A134" s="5" t="s">
        <v>6871</v>
      </c>
      <c r="B134" s="5" t="s">
        <v>264</v>
      </c>
      <c r="C134" s="5" t="s">
        <v>6871</v>
      </c>
      <c r="D134" s="5" t="s">
        <v>278</v>
      </c>
      <c r="E134" s="5" t="s">
        <v>3984</v>
      </c>
      <c r="F134" s="5" t="s">
        <v>6738</v>
      </c>
      <c r="G134" s="5" t="s">
        <v>6841</v>
      </c>
      <c r="H134" s="8">
        <v>128</v>
      </c>
      <c r="I134" s="5"/>
      <c r="J134" s="5" t="s">
        <v>6842</v>
      </c>
    </row>
    <row r="135" spans="1:10" ht="50.1" customHeight="1" x14ac:dyDescent="0.2">
      <c r="A135" s="5" t="s">
        <v>6872</v>
      </c>
      <c r="B135" s="5" t="s">
        <v>264</v>
      </c>
      <c r="C135" s="5" t="s">
        <v>6872</v>
      </c>
      <c r="D135" s="5" t="s">
        <v>278</v>
      </c>
      <c r="E135" s="5" t="s">
        <v>3988</v>
      </c>
      <c r="F135" s="5" t="s">
        <v>6738</v>
      </c>
      <c r="G135" s="5" t="s">
        <v>6841</v>
      </c>
      <c r="H135" s="8">
        <v>129</v>
      </c>
      <c r="I135" s="5"/>
      <c r="J135" s="5" t="s">
        <v>6842</v>
      </c>
    </row>
    <row r="136" spans="1:10" ht="50.1" customHeight="1" x14ac:dyDescent="0.2">
      <c r="A136" s="5" t="s">
        <v>6873</v>
      </c>
      <c r="B136" s="5" t="s">
        <v>264</v>
      </c>
      <c r="C136" s="5" t="s">
        <v>6873</v>
      </c>
      <c r="D136" s="5" t="s">
        <v>278</v>
      </c>
      <c r="E136" s="5" t="s">
        <v>3991</v>
      </c>
      <c r="F136" s="5" t="s">
        <v>6738</v>
      </c>
      <c r="G136" s="5" t="s">
        <v>6841</v>
      </c>
      <c r="H136" s="8">
        <v>130</v>
      </c>
      <c r="I136" s="5"/>
      <c r="J136" s="5" t="s">
        <v>6842</v>
      </c>
    </row>
    <row r="137" spans="1:10" ht="50.1" customHeight="1" x14ac:dyDescent="0.2">
      <c r="A137" s="5" t="s">
        <v>6874</v>
      </c>
      <c r="B137" s="5" t="s">
        <v>264</v>
      </c>
      <c r="C137" s="5" t="s">
        <v>6874</v>
      </c>
      <c r="D137" s="5" t="s">
        <v>278</v>
      </c>
      <c r="E137" s="5" t="s">
        <v>3995</v>
      </c>
      <c r="F137" s="5" t="s">
        <v>6738</v>
      </c>
      <c r="G137" s="5" t="s">
        <v>6841</v>
      </c>
      <c r="H137" s="8">
        <v>131</v>
      </c>
      <c r="I137" s="5"/>
      <c r="J137" s="5" t="s">
        <v>6842</v>
      </c>
    </row>
    <row r="138" spans="1:10" ht="50.1" customHeight="1" x14ac:dyDescent="0.2">
      <c r="A138" s="5" t="s">
        <v>6875</v>
      </c>
      <c r="B138" s="5" t="s">
        <v>264</v>
      </c>
      <c r="C138" s="5" t="s">
        <v>6875</v>
      </c>
      <c r="D138" s="5" t="s">
        <v>278</v>
      </c>
      <c r="E138" s="5" t="s">
        <v>3999</v>
      </c>
      <c r="F138" s="5" t="s">
        <v>6738</v>
      </c>
      <c r="G138" s="5" t="s">
        <v>6841</v>
      </c>
      <c r="H138" s="8">
        <v>132</v>
      </c>
      <c r="I138" s="5"/>
      <c r="J138" s="5" t="s">
        <v>6842</v>
      </c>
    </row>
    <row r="139" spans="1:10" ht="50.1" customHeight="1" x14ac:dyDescent="0.2">
      <c r="A139" s="5" t="s">
        <v>6876</v>
      </c>
      <c r="B139" s="5" t="s">
        <v>264</v>
      </c>
      <c r="C139" s="5" t="s">
        <v>6876</v>
      </c>
      <c r="D139" s="5" t="s">
        <v>278</v>
      </c>
      <c r="E139" s="5" t="s">
        <v>4002</v>
      </c>
      <c r="F139" s="5" t="s">
        <v>6738</v>
      </c>
      <c r="G139" s="5" t="s">
        <v>6841</v>
      </c>
      <c r="H139" s="8">
        <v>133</v>
      </c>
      <c r="I139" s="5"/>
      <c r="J139" s="5" t="s">
        <v>6842</v>
      </c>
    </row>
    <row r="140" spans="1:10" ht="50.1" customHeight="1" x14ac:dyDescent="0.2">
      <c r="A140" s="5" t="s">
        <v>6877</v>
      </c>
      <c r="B140" s="5" t="s">
        <v>264</v>
      </c>
      <c r="C140" s="5" t="s">
        <v>6877</v>
      </c>
      <c r="D140" s="5" t="s">
        <v>278</v>
      </c>
      <c r="E140" s="5" t="s">
        <v>4006</v>
      </c>
      <c r="F140" s="5" t="s">
        <v>6738</v>
      </c>
      <c r="G140" s="5" t="s">
        <v>6841</v>
      </c>
      <c r="H140" s="8">
        <v>134</v>
      </c>
      <c r="I140" s="5"/>
      <c r="J140" s="5" t="s">
        <v>6842</v>
      </c>
    </row>
    <row r="141" spans="1:10" ht="50.1" customHeight="1" x14ac:dyDescent="0.2">
      <c r="A141" s="5" t="s">
        <v>6878</v>
      </c>
      <c r="B141" s="5" t="s">
        <v>264</v>
      </c>
      <c r="C141" s="5" t="s">
        <v>6878</v>
      </c>
      <c r="D141" s="5" t="s">
        <v>278</v>
      </c>
      <c r="E141" s="5" t="s">
        <v>4010</v>
      </c>
      <c r="F141" s="5" t="s">
        <v>6738</v>
      </c>
      <c r="G141" s="5" t="s">
        <v>6841</v>
      </c>
      <c r="H141" s="8">
        <v>135</v>
      </c>
      <c r="I141" s="5"/>
      <c r="J141" s="5" t="s">
        <v>6842</v>
      </c>
    </row>
    <row r="142" spans="1:10" ht="50.1" customHeight="1" x14ac:dyDescent="0.2">
      <c r="A142" s="5" t="s">
        <v>6879</v>
      </c>
      <c r="B142" s="5" t="s">
        <v>264</v>
      </c>
      <c r="C142" s="5" t="s">
        <v>6879</v>
      </c>
      <c r="D142" s="5" t="s">
        <v>278</v>
      </c>
      <c r="E142" s="5" t="s">
        <v>4014</v>
      </c>
      <c r="F142" s="5" t="s">
        <v>6738</v>
      </c>
      <c r="G142" s="5" t="s">
        <v>6841</v>
      </c>
      <c r="H142" s="8">
        <v>136</v>
      </c>
      <c r="I142" s="5"/>
      <c r="J142" s="5" t="s">
        <v>6842</v>
      </c>
    </row>
    <row r="143" spans="1:10" ht="50.1" customHeight="1" x14ac:dyDescent="0.2">
      <c r="A143" s="5" t="s">
        <v>6880</v>
      </c>
      <c r="B143" s="5" t="s">
        <v>264</v>
      </c>
      <c r="C143" s="5" t="s">
        <v>6880</v>
      </c>
      <c r="D143" s="5" t="s">
        <v>278</v>
      </c>
      <c r="E143" s="5" t="s">
        <v>4018</v>
      </c>
      <c r="F143" s="5" t="s">
        <v>6738</v>
      </c>
      <c r="G143" s="5" t="s">
        <v>6841</v>
      </c>
      <c r="H143" s="8">
        <v>137</v>
      </c>
      <c r="I143" s="5"/>
      <c r="J143" s="5" t="s">
        <v>6842</v>
      </c>
    </row>
    <row r="144" spans="1:10" ht="50.1" customHeight="1" x14ac:dyDescent="0.2">
      <c r="A144" s="5" t="s">
        <v>6881</v>
      </c>
      <c r="B144" s="5" t="s">
        <v>264</v>
      </c>
      <c r="C144" s="5" t="s">
        <v>6881</v>
      </c>
      <c r="D144" s="5" t="s">
        <v>278</v>
      </c>
      <c r="E144" s="5" t="s">
        <v>4022</v>
      </c>
      <c r="F144" s="5" t="s">
        <v>6738</v>
      </c>
      <c r="G144" s="5" t="s">
        <v>6841</v>
      </c>
      <c r="H144" s="8">
        <v>138</v>
      </c>
      <c r="I144" s="5"/>
      <c r="J144" s="5" t="s">
        <v>6842</v>
      </c>
    </row>
    <row r="145" spans="1:10" ht="50.1" customHeight="1" x14ac:dyDescent="0.2">
      <c r="A145" s="5" t="s">
        <v>6882</v>
      </c>
      <c r="B145" s="5" t="s">
        <v>264</v>
      </c>
      <c r="C145" s="5" t="s">
        <v>6882</v>
      </c>
      <c r="D145" s="5" t="s">
        <v>278</v>
      </c>
      <c r="E145" s="5" t="s">
        <v>4026</v>
      </c>
      <c r="F145" s="5" t="s">
        <v>6738</v>
      </c>
      <c r="G145" s="5" t="s">
        <v>6841</v>
      </c>
      <c r="H145" s="8">
        <v>139</v>
      </c>
      <c r="I145" s="5"/>
      <c r="J145" s="5" t="s">
        <v>6842</v>
      </c>
    </row>
    <row r="146" spans="1:10" ht="50.1" customHeight="1" x14ac:dyDescent="0.2">
      <c r="A146" s="5" t="s">
        <v>6883</v>
      </c>
      <c r="B146" s="5" t="s">
        <v>264</v>
      </c>
      <c r="C146" s="5" t="s">
        <v>6883</v>
      </c>
      <c r="D146" s="5" t="s">
        <v>278</v>
      </c>
      <c r="E146" s="5" t="s">
        <v>4030</v>
      </c>
      <c r="F146" s="5" t="s">
        <v>6738</v>
      </c>
      <c r="G146" s="5" t="s">
        <v>6841</v>
      </c>
      <c r="H146" s="8">
        <v>140</v>
      </c>
      <c r="I146" s="5"/>
      <c r="J146" s="5" t="s">
        <v>6842</v>
      </c>
    </row>
    <row r="147" spans="1:10" ht="50.1" customHeight="1" x14ac:dyDescent="0.2">
      <c r="A147" s="5" t="s">
        <v>6884</v>
      </c>
      <c r="B147" s="5" t="s">
        <v>264</v>
      </c>
      <c r="C147" s="5" t="s">
        <v>6884</v>
      </c>
      <c r="D147" s="5" t="s">
        <v>278</v>
      </c>
      <c r="E147" s="5" t="s">
        <v>4034</v>
      </c>
      <c r="F147" s="5" t="s">
        <v>6738</v>
      </c>
      <c r="G147" s="5" t="s">
        <v>6841</v>
      </c>
      <c r="H147" s="8">
        <v>141</v>
      </c>
      <c r="I147" s="5"/>
      <c r="J147" s="5" t="s">
        <v>6842</v>
      </c>
    </row>
    <row r="148" spans="1:10" ht="50.1" customHeight="1" x14ac:dyDescent="0.2">
      <c r="A148" s="5" t="s">
        <v>6885</v>
      </c>
      <c r="B148" s="5" t="s">
        <v>264</v>
      </c>
      <c r="C148" s="5" t="s">
        <v>6885</v>
      </c>
      <c r="D148" s="5" t="s">
        <v>278</v>
      </c>
      <c r="E148" s="5" t="s">
        <v>4038</v>
      </c>
      <c r="F148" s="5" t="s">
        <v>6738</v>
      </c>
      <c r="G148" s="5" t="s">
        <v>6841</v>
      </c>
      <c r="H148" s="8">
        <v>142</v>
      </c>
      <c r="I148" s="5"/>
      <c r="J148" s="5" t="s">
        <v>6842</v>
      </c>
    </row>
    <row r="149" spans="1:10" ht="50.1" customHeight="1" x14ac:dyDescent="0.2">
      <c r="A149" s="5" t="s">
        <v>6886</v>
      </c>
      <c r="B149" s="5" t="s">
        <v>264</v>
      </c>
      <c r="C149" s="5" t="s">
        <v>6886</v>
      </c>
      <c r="D149" s="5" t="s">
        <v>278</v>
      </c>
      <c r="E149" s="5" t="s">
        <v>4042</v>
      </c>
      <c r="F149" s="5" t="s">
        <v>6738</v>
      </c>
      <c r="G149" s="5" t="s">
        <v>6841</v>
      </c>
      <c r="H149" s="8">
        <v>143</v>
      </c>
      <c r="I149" s="5"/>
      <c r="J149" s="5" t="s">
        <v>6842</v>
      </c>
    </row>
    <row r="150" spans="1:10" ht="50.1" customHeight="1" x14ac:dyDescent="0.2">
      <c r="A150" s="5" t="s">
        <v>6887</v>
      </c>
      <c r="B150" s="5" t="s">
        <v>264</v>
      </c>
      <c r="C150" s="5" t="s">
        <v>6887</v>
      </c>
      <c r="D150" s="5" t="s">
        <v>278</v>
      </c>
      <c r="E150" s="5" t="s">
        <v>4046</v>
      </c>
      <c r="F150" s="5" t="s">
        <v>6738</v>
      </c>
      <c r="G150" s="5" t="s">
        <v>6841</v>
      </c>
      <c r="H150" s="8">
        <v>144</v>
      </c>
      <c r="I150" s="5"/>
      <c r="J150" s="5" t="s">
        <v>6842</v>
      </c>
    </row>
    <row r="151" spans="1:10" ht="50.1" customHeight="1" x14ac:dyDescent="0.2">
      <c r="A151" s="5" t="s">
        <v>6888</v>
      </c>
      <c r="B151" s="5" t="s">
        <v>264</v>
      </c>
      <c r="C151" s="5" t="s">
        <v>6888</v>
      </c>
      <c r="D151" s="5" t="s">
        <v>278</v>
      </c>
      <c r="E151" s="5" t="s">
        <v>4050</v>
      </c>
      <c r="F151" s="5" t="s">
        <v>6738</v>
      </c>
      <c r="G151" s="5" t="s">
        <v>6841</v>
      </c>
      <c r="H151" s="8">
        <v>145</v>
      </c>
      <c r="I151" s="5"/>
      <c r="J151" s="5" t="s">
        <v>6842</v>
      </c>
    </row>
    <row r="152" spans="1:10" ht="50.1" customHeight="1" x14ac:dyDescent="0.2">
      <c r="A152" s="5" t="s">
        <v>6889</v>
      </c>
      <c r="B152" s="5" t="s">
        <v>264</v>
      </c>
      <c r="C152" s="5" t="s">
        <v>6889</v>
      </c>
      <c r="D152" s="5" t="s">
        <v>278</v>
      </c>
      <c r="E152" s="5" t="s">
        <v>4054</v>
      </c>
      <c r="F152" s="5" t="s">
        <v>6738</v>
      </c>
      <c r="G152" s="5" t="s">
        <v>6841</v>
      </c>
      <c r="H152" s="8">
        <v>146</v>
      </c>
      <c r="I152" s="5"/>
      <c r="J152" s="5" t="s">
        <v>6842</v>
      </c>
    </row>
    <row r="153" spans="1:10" ht="50.1" customHeight="1" x14ac:dyDescent="0.2">
      <c r="A153" s="5" t="s">
        <v>6890</v>
      </c>
      <c r="B153" s="5" t="s">
        <v>264</v>
      </c>
      <c r="C153" s="5" t="s">
        <v>6890</v>
      </c>
      <c r="D153" s="5" t="s">
        <v>278</v>
      </c>
      <c r="E153" s="5" t="s">
        <v>4058</v>
      </c>
      <c r="F153" s="5" t="s">
        <v>6738</v>
      </c>
      <c r="G153" s="5" t="s">
        <v>6841</v>
      </c>
      <c r="H153" s="8">
        <v>147</v>
      </c>
      <c r="I153" s="5"/>
      <c r="J153" s="5" t="s">
        <v>6842</v>
      </c>
    </row>
    <row r="154" spans="1:10" ht="50.1" customHeight="1" x14ac:dyDescent="0.2">
      <c r="A154" s="5" t="s">
        <v>6891</v>
      </c>
      <c r="B154" s="5" t="s">
        <v>264</v>
      </c>
      <c r="C154" s="5" t="s">
        <v>6891</v>
      </c>
      <c r="D154" s="5" t="s">
        <v>278</v>
      </c>
      <c r="E154" s="5" t="s">
        <v>4062</v>
      </c>
      <c r="F154" s="5" t="s">
        <v>6738</v>
      </c>
      <c r="G154" s="5" t="s">
        <v>6841</v>
      </c>
      <c r="H154" s="8">
        <v>148</v>
      </c>
      <c r="I154" s="5"/>
      <c r="J154" s="5" t="s">
        <v>6842</v>
      </c>
    </row>
    <row r="155" spans="1:10" ht="50.1" customHeight="1" x14ac:dyDescent="0.2">
      <c r="A155" s="5" t="s">
        <v>6892</v>
      </c>
      <c r="B155" s="5" t="s">
        <v>264</v>
      </c>
      <c r="C155" s="5" t="s">
        <v>6892</v>
      </c>
      <c r="D155" s="5" t="s">
        <v>278</v>
      </c>
      <c r="E155" s="5" t="s">
        <v>4066</v>
      </c>
      <c r="F155" s="5" t="s">
        <v>6738</v>
      </c>
      <c r="G155" s="5" t="s">
        <v>6841</v>
      </c>
      <c r="H155" s="8">
        <v>149</v>
      </c>
      <c r="I155" s="5"/>
      <c r="J155" s="5" t="s">
        <v>6842</v>
      </c>
    </row>
    <row r="156" spans="1:10" ht="50.1" customHeight="1" x14ac:dyDescent="0.2">
      <c r="A156" s="5" t="s">
        <v>6893</v>
      </c>
      <c r="B156" s="5" t="s">
        <v>264</v>
      </c>
      <c r="C156" s="5" t="s">
        <v>6893</v>
      </c>
      <c r="D156" s="5" t="s">
        <v>278</v>
      </c>
      <c r="E156" s="5" t="s">
        <v>4070</v>
      </c>
      <c r="F156" s="5" t="s">
        <v>6738</v>
      </c>
      <c r="G156" s="5" t="s">
        <v>6841</v>
      </c>
      <c r="H156" s="8">
        <v>150</v>
      </c>
      <c r="I156" s="5"/>
      <c r="J156" s="5" t="s">
        <v>6842</v>
      </c>
    </row>
    <row r="157" spans="1:10" ht="50.1" customHeight="1" x14ac:dyDescent="0.2">
      <c r="A157" s="5" t="s">
        <v>6894</v>
      </c>
      <c r="B157" s="5" t="s">
        <v>264</v>
      </c>
      <c r="C157" s="5" t="s">
        <v>6894</v>
      </c>
      <c r="D157" s="5" t="s">
        <v>278</v>
      </c>
      <c r="E157" s="5" t="s">
        <v>4074</v>
      </c>
      <c r="F157" s="5" t="s">
        <v>6738</v>
      </c>
      <c r="G157" s="5" t="s">
        <v>6841</v>
      </c>
      <c r="H157" s="8">
        <v>151</v>
      </c>
      <c r="I157" s="5"/>
      <c r="J157" s="5" t="s">
        <v>6842</v>
      </c>
    </row>
    <row r="158" spans="1:10" ht="50.1" customHeight="1" x14ac:dyDescent="0.2">
      <c r="A158" s="5" t="s">
        <v>6895</v>
      </c>
      <c r="B158" s="5" t="s">
        <v>264</v>
      </c>
      <c r="C158" s="5" t="s">
        <v>6895</v>
      </c>
      <c r="D158" s="5" t="s">
        <v>278</v>
      </c>
      <c r="E158" s="5" t="s">
        <v>4078</v>
      </c>
      <c r="F158" s="5" t="s">
        <v>6738</v>
      </c>
      <c r="G158" s="5" t="s">
        <v>6841</v>
      </c>
      <c r="H158" s="8">
        <v>152</v>
      </c>
      <c r="I158" s="5"/>
      <c r="J158" s="5" t="s">
        <v>6842</v>
      </c>
    </row>
    <row r="159" spans="1:10" ht="50.1" customHeight="1" x14ac:dyDescent="0.2">
      <c r="A159" s="5" t="s">
        <v>6896</v>
      </c>
      <c r="B159" s="5" t="s">
        <v>264</v>
      </c>
      <c r="C159" s="5" t="s">
        <v>6896</v>
      </c>
      <c r="D159" s="5" t="s">
        <v>278</v>
      </c>
      <c r="E159" s="5" t="s">
        <v>4082</v>
      </c>
      <c r="F159" s="5" t="s">
        <v>6738</v>
      </c>
      <c r="G159" s="5" t="s">
        <v>6841</v>
      </c>
      <c r="H159" s="8">
        <v>153</v>
      </c>
      <c r="I159" s="5"/>
      <c r="J159" s="5" t="s">
        <v>6842</v>
      </c>
    </row>
    <row r="160" spans="1:10" ht="50.1" customHeight="1" x14ac:dyDescent="0.2">
      <c r="A160" s="5" t="s">
        <v>4089</v>
      </c>
      <c r="B160" s="5" t="s">
        <v>6897</v>
      </c>
      <c r="C160" s="5" t="s">
        <v>6898</v>
      </c>
      <c r="D160" s="5" t="s">
        <v>283</v>
      </c>
      <c r="E160" s="5" t="s">
        <v>4087</v>
      </c>
      <c r="F160" s="5" t="s">
        <v>6738</v>
      </c>
      <c r="G160" s="5" t="s">
        <v>6899</v>
      </c>
      <c r="H160" s="8">
        <v>1</v>
      </c>
      <c r="I160" s="5"/>
      <c r="J160" s="5" t="s">
        <v>6900</v>
      </c>
    </row>
    <row r="161" spans="1:10" ht="50.1" customHeight="1" x14ac:dyDescent="0.2">
      <c r="A161" s="5" t="s">
        <v>4094</v>
      </c>
      <c r="B161" s="5" t="s">
        <v>6897</v>
      </c>
      <c r="C161" s="5" t="s">
        <v>6901</v>
      </c>
      <c r="D161" s="5" t="s">
        <v>283</v>
      </c>
      <c r="E161" s="5" t="s">
        <v>4092</v>
      </c>
      <c r="F161" s="5" t="s">
        <v>6738</v>
      </c>
      <c r="G161" s="5" t="s">
        <v>6899</v>
      </c>
      <c r="H161" s="8">
        <v>2</v>
      </c>
      <c r="I161" s="5"/>
      <c r="J161" s="5" t="s">
        <v>6900</v>
      </c>
    </row>
    <row r="162" spans="1:10" ht="50.1" customHeight="1" x14ac:dyDescent="0.2">
      <c r="A162" s="5" t="s">
        <v>4098</v>
      </c>
      <c r="B162" s="5" t="s">
        <v>6897</v>
      </c>
      <c r="C162" s="5" t="s">
        <v>6902</v>
      </c>
      <c r="D162" s="5" t="s">
        <v>283</v>
      </c>
      <c r="E162" s="5" t="s">
        <v>4096</v>
      </c>
      <c r="F162" s="5" t="s">
        <v>6738</v>
      </c>
      <c r="G162" s="5" t="s">
        <v>6899</v>
      </c>
      <c r="H162" s="8">
        <v>3</v>
      </c>
      <c r="I162" s="5"/>
      <c r="J162" s="5" t="s">
        <v>6900</v>
      </c>
    </row>
    <row r="163" spans="1:10" ht="50.1" customHeight="1" x14ac:dyDescent="0.2">
      <c r="A163" s="5" t="s">
        <v>4102</v>
      </c>
      <c r="B163" s="5" t="s">
        <v>6897</v>
      </c>
      <c r="C163" s="5" t="s">
        <v>6903</v>
      </c>
      <c r="D163" s="5" t="s">
        <v>283</v>
      </c>
      <c r="E163" s="5" t="s">
        <v>4100</v>
      </c>
      <c r="F163" s="5" t="s">
        <v>6738</v>
      </c>
      <c r="G163" s="5" t="s">
        <v>6899</v>
      </c>
      <c r="H163" s="8">
        <v>4</v>
      </c>
      <c r="I163" s="5"/>
      <c r="J163" s="5" t="s">
        <v>6900</v>
      </c>
    </row>
    <row r="164" spans="1:10" ht="50.1" customHeight="1" x14ac:dyDescent="0.2">
      <c r="A164" s="5" t="s">
        <v>4106</v>
      </c>
      <c r="B164" s="5" t="s">
        <v>6897</v>
      </c>
      <c r="C164" s="5" t="s">
        <v>6904</v>
      </c>
      <c r="D164" s="5" t="s">
        <v>283</v>
      </c>
      <c r="E164" s="5" t="s">
        <v>4104</v>
      </c>
      <c r="F164" s="5" t="s">
        <v>6738</v>
      </c>
      <c r="G164" s="5" t="s">
        <v>6899</v>
      </c>
      <c r="H164" s="8">
        <v>5</v>
      </c>
      <c r="I164" s="5"/>
      <c r="J164" s="5" t="s">
        <v>6900</v>
      </c>
    </row>
    <row r="165" spans="1:10" ht="50.1" customHeight="1" x14ac:dyDescent="0.2">
      <c r="A165" s="5" t="s">
        <v>4110</v>
      </c>
      <c r="B165" s="5" t="s">
        <v>6897</v>
      </c>
      <c r="C165" s="5" t="s">
        <v>6905</v>
      </c>
      <c r="D165" s="5" t="s">
        <v>283</v>
      </c>
      <c r="E165" s="5" t="s">
        <v>4108</v>
      </c>
      <c r="F165" s="5" t="s">
        <v>6738</v>
      </c>
      <c r="G165" s="5" t="s">
        <v>6899</v>
      </c>
      <c r="H165" s="8">
        <v>6</v>
      </c>
      <c r="I165" s="5"/>
      <c r="J165" s="5" t="s">
        <v>6900</v>
      </c>
    </row>
    <row r="166" spans="1:10" ht="50.1" customHeight="1" x14ac:dyDescent="0.2">
      <c r="A166" s="5" t="s">
        <v>4002</v>
      </c>
      <c r="B166" s="5" t="s">
        <v>6906</v>
      </c>
      <c r="C166" s="5" t="s">
        <v>6907</v>
      </c>
      <c r="D166" s="5" t="s">
        <v>283</v>
      </c>
      <c r="E166" s="5" t="s">
        <v>4002</v>
      </c>
      <c r="F166" s="5" t="s">
        <v>2338</v>
      </c>
      <c r="G166" s="5" t="s">
        <v>6908</v>
      </c>
      <c r="H166" s="8">
        <v>1</v>
      </c>
      <c r="I166" s="5"/>
      <c r="J166" s="5" t="s">
        <v>6909</v>
      </c>
    </row>
    <row r="167" spans="1:10" ht="50.1" customHeight="1" x14ac:dyDescent="0.2">
      <c r="A167" s="5" t="s">
        <v>4006</v>
      </c>
      <c r="B167" s="5" t="s">
        <v>6906</v>
      </c>
      <c r="C167" s="5" t="s">
        <v>6910</v>
      </c>
      <c r="D167" s="5" t="s">
        <v>283</v>
      </c>
      <c r="E167" s="5" t="s">
        <v>4006</v>
      </c>
      <c r="F167" s="5" t="s">
        <v>2338</v>
      </c>
      <c r="G167" s="5" t="s">
        <v>6908</v>
      </c>
      <c r="H167" s="8">
        <v>2</v>
      </c>
      <c r="I167" s="5"/>
      <c r="J167" s="5" t="s">
        <v>6909</v>
      </c>
    </row>
    <row r="168" spans="1:10" ht="50.1" customHeight="1" x14ac:dyDescent="0.2">
      <c r="A168" s="5" t="s">
        <v>4014</v>
      </c>
      <c r="B168" s="5" t="s">
        <v>6906</v>
      </c>
      <c r="C168" s="5" t="s">
        <v>6911</v>
      </c>
      <c r="D168" s="5" t="s">
        <v>283</v>
      </c>
      <c r="E168" s="5" t="s">
        <v>4014</v>
      </c>
      <c r="F168" s="5" t="s">
        <v>2338</v>
      </c>
      <c r="G168" s="5" t="s">
        <v>6908</v>
      </c>
      <c r="H168" s="8">
        <v>3</v>
      </c>
      <c r="I168" s="5"/>
      <c r="J168" s="5" t="s">
        <v>6909</v>
      </c>
    </row>
    <row r="169" spans="1:10" ht="50.1" customHeight="1" x14ac:dyDescent="0.2">
      <c r="A169" s="5" t="s">
        <v>4074</v>
      </c>
      <c r="B169" s="5" t="s">
        <v>6906</v>
      </c>
      <c r="C169" s="5" t="s">
        <v>6912</v>
      </c>
      <c r="D169" s="5" t="s">
        <v>283</v>
      </c>
      <c r="E169" s="5" t="s">
        <v>4074</v>
      </c>
      <c r="F169" s="5" t="s">
        <v>2338</v>
      </c>
      <c r="G169" s="5" t="s">
        <v>6908</v>
      </c>
      <c r="H169" s="8">
        <v>4</v>
      </c>
      <c r="I169" s="5"/>
      <c r="J169" s="5" t="s">
        <v>6909</v>
      </c>
    </row>
    <row r="170" spans="1:10" ht="50.1" customHeight="1" x14ac:dyDescent="0.2">
      <c r="A170" s="5" t="s">
        <v>4078</v>
      </c>
      <c r="B170" s="5" t="s">
        <v>6906</v>
      </c>
      <c r="C170" s="5" t="s">
        <v>6913</v>
      </c>
      <c r="D170" s="5" t="s">
        <v>283</v>
      </c>
      <c r="E170" s="5" t="s">
        <v>4078</v>
      </c>
      <c r="F170" s="5" t="s">
        <v>2338</v>
      </c>
      <c r="G170" s="5" t="s">
        <v>6908</v>
      </c>
      <c r="H170" s="8">
        <v>5</v>
      </c>
      <c r="I170" s="5"/>
      <c r="J170" s="5" t="s">
        <v>6909</v>
      </c>
    </row>
    <row r="171" spans="1:10" ht="50.1" customHeight="1" x14ac:dyDescent="0.2">
      <c r="A171" s="5" t="s">
        <v>4111</v>
      </c>
      <c r="B171" s="5" t="s">
        <v>6914</v>
      </c>
      <c r="C171" s="5" t="s">
        <v>6915</v>
      </c>
      <c r="D171" s="5" t="s">
        <v>288</v>
      </c>
      <c r="E171" s="5" t="s">
        <v>4113</v>
      </c>
      <c r="F171" s="5" t="s">
        <v>6738</v>
      </c>
      <c r="G171" s="5" t="s">
        <v>6916</v>
      </c>
      <c r="H171" s="8">
        <v>165</v>
      </c>
      <c r="I171" s="5"/>
      <c r="J171" s="5" t="s">
        <v>6917</v>
      </c>
    </row>
    <row r="172" spans="1:10" ht="50.1" customHeight="1" x14ac:dyDescent="0.2">
      <c r="A172" s="5" t="s">
        <v>4117</v>
      </c>
      <c r="B172" s="5" t="s">
        <v>6914</v>
      </c>
      <c r="C172" s="5" t="s">
        <v>6918</v>
      </c>
      <c r="D172" s="5" t="s">
        <v>288</v>
      </c>
      <c r="E172" s="5" t="s">
        <v>4118</v>
      </c>
      <c r="F172" s="5" t="s">
        <v>6738</v>
      </c>
      <c r="G172" s="5" t="s">
        <v>6916</v>
      </c>
      <c r="H172" s="8">
        <v>166</v>
      </c>
      <c r="I172" s="5"/>
      <c r="J172" s="5" t="s">
        <v>6917</v>
      </c>
    </row>
    <row r="173" spans="1:10" ht="50.1" customHeight="1" x14ac:dyDescent="0.2">
      <c r="A173" s="5" t="s">
        <v>4121</v>
      </c>
      <c r="B173" s="5" t="s">
        <v>6914</v>
      </c>
      <c r="C173" s="5" t="s">
        <v>6919</v>
      </c>
      <c r="D173" s="5" t="s">
        <v>288</v>
      </c>
      <c r="E173" s="5" t="s">
        <v>4122</v>
      </c>
      <c r="F173" s="5" t="s">
        <v>6738</v>
      </c>
      <c r="G173" s="5" t="s">
        <v>6916</v>
      </c>
      <c r="H173" s="8">
        <v>167</v>
      </c>
      <c r="I173" s="5"/>
      <c r="J173" s="5" t="s">
        <v>6917</v>
      </c>
    </row>
    <row r="174" spans="1:10" ht="50.1" customHeight="1" x14ac:dyDescent="0.2">
      <c r="A174" s="5" t="s">
        <v>4017</v>
      </c>
      <c r="B174" s="5" t="s">
        <v>6914</v>
      </c>
      <c r="C174" s="5" t="s">
        <v>6920</v>
      </c>
      <c r="D174" s="5" t="s">
        <v>288</v>
      </c>
      <c r="E174" s="5" t="s">
        <v>4125</v>
      </c>
      <c r="F174" s="5" t="s">
        <v>6738</v>
      </c>
      <c r="G174" s="5" t="s">
        <v>6916</v>
      </c>
      <c r="H174" s="8">
        <v>168</v>
      </c>
      <c r="I174" s="5"/>
      <c r="J174" s="5" t="s">
        <v>6917</v>
      </c>
    </row>
    <row r="175" spans="1:10" ht="50.1" customHeight="1" x14ac:dyDescent="0.2">
      <c r="A175" s="5" t="s">
        <v>4128</v>
      </c>
      <c r="B175" s="5" t="s">
        <v>6914</v>
      </c>
      <c r="C175" s="5" t="s">
        <v>6921</v>
      </c>
      <c r="D175" s="5" t="s">
        <v>288</v>
      </c>
      <c r="E175" s="5" t="s">
        <v>4129</v>
      </c>
      <c r="F175" s="5" t="s">
        <v>6738</v>
      </c>
      <c r="G175" s="5" t="s">
        <v>6916</v>
      </c>
      <c r="H175" s="8">
        <v>169</v>
      </c>
      <c r="I175" s="5"/>
      <c r="J175" s="5" t="s">
        <v>6917</v>
      </c>
    </row>
    <row r="176" spans="1:10" ht="50.1" customHeight="1" x14ac:dyDescent="0.2">
      <c r="A176" s="5" t="s">
        <v>4132</v>
      </c>
      <c r="B176" s="5" t="s">
        <v>6914</v>
      </c>
      <c r="C176" s="5" t="s">
        <v>6922</v>
      </c>
      <c r="D176" s="5" t="s">
        <v>288</v>
      </c>
      <c r="E176" s="5" t="s">
        <v>4133</v>
      </c>
      <c r="F176" s="5" t="s">
        <v>6738</v>
      </c>
      <c r="G176" s="5" t="s">
        <v>6916</v>
      </c>
      <c r="H176" s="8">
        <v>170</v>
      </c>
      <c r="I176" s="5"/>
      <c r="J176" s="5" t="s">
        <v>6917</v>
      </c>
    </row>
    <row r="177" spans="1:10" ht="50.1" customHeight="1" x14ac:dyDescent="0.2">
      <c r="A177" s="5" t="s">
        <v>4136</v>
      </c>
      <c r="B177" s="5" t="s">
        <v>6914</v>
      </c>
      <c r="C177" s="5" t="s">
        <v>6923</v>
      </c>
      <c r="D177" s="5" t="s">
        <v>288</v>
      </c>
      <c r="E177" s="5" t="s">
        <v>4137</v>
      </c>
      <c r="F177" s="5" t="s">
        <v>6738</v>
      </c>
      <c r="G177" s="5" t="s">
        <v>6916</v>
      </c>
      <c r="H177" s="8">
        <v>171</v>
      </c>
      <c r="I177" s="5"/>
      <c r="J177" s="5" t="s">
        <v>6917</v>
      </c>
    </row>
    <row r="178" spans="1:10" ht="50.1" customHeight="1" x14ac:dyDescent="0.2">
      <c r="A178" s="5" t="s">
        <v>4140</v>
      </c>
      <c r="B178" s="5" t="s">
        <v>6914</v>
      </c>
      <c r="C178" s="5" t="s">
        <v>6924</v>
      </c>
      <c r="D178" s="5" t="s">
        <v>288</v>
      </c>
      <c r="E178" s="5" t="s">
        <v>4141</v>
      </c>
      <c r="F178" s="5" t="s">
        <v>6738</v>
      </c>
      <c r="G178" s="5" t="s">
        <v>6916</v>
      </c>
      <c r="H178" s="8">
        <v>172</v>
      </c>
      <c r="I178" s="5"/>
      <c r="J178" s="5" t="s">
        <v>6917</v>
      </c>
    </row>
    <row r="179" spans="1:10" ht="50.1" customHeight="1" x14ac:dyDescent="0.2">
      <c r="A179" s="5" t="s">
        <v>4033</v>
      </c>
      <c r="B179" s="5" t="s">
        <v>6914</v>
      </c>
      <c r="C179" s="5" t="s">
        <v>6925</v>
      </c>
      <c r="D179" s="5" t="s">
        <v>288</v>
      </c>
      <c r="E179" s="5" t="s">
        <v>4144</v>
      </c>
      <c r="F179" s="5" t="s">
        <v>6738</v>
      </c>
      <c r="G179" s="5" t="s">
        <v>6916</v>
      </c>
      <c r="H179" s="8">
        <v>173</v>
      </c>
      <c r="I179" s="5"/>
      <c r="J179" s="5" t="s">
        <v>6917</v>
      </c>
    </row>
    <row r="180" spans="1:10" ht="50.1" customHeight="1" x14ac:dyDescent="0.2">
      <c r="A180" s="5" t="s">
        <v>4147</v>
      </c>
      <c r="B180" s="5" t="s">
        <v>6914</v>
      </c>
      <c r="C180" s="5" t="s">
        <v>6926</v>
      </c>
      <c r="D180" s="5" t="s">
        <v>288</v>
      </c>
      <c r="E180" s="5" t="s">
        <v>4148</v>
      </c>
      <c r="F180" s="5" t="s">
        <v>6738</v>
      </c>
      <c r="G180" s="5" t="s">
        <v>6916</v>
      </c>
      <c r="H180" s="8">
        <v>174</v>
      </c>
      <c r="I180" s="5"/>
      <c r="J180" s="5" t="s">
        <v>6917</v>
      </c>
    </row>
    <row r="181" spans="1:10" ht="50.1" customHeight="1" x14ac:dyDescent="0.2">
      <c r="A181" s="5" t="s">
        <v>4018</v>
      </c>
      <c r="B181" s="5" t="s">
        <v>6927</v>
      </c>
      <c r="C181" s="5" t="s">
        <v>6928</v>
      </c>
      <c r="D181" s="5" t="s">
        <v>288</v>
      </c>
      <c r="E181" s="5" t="s">
        <v>4018</v>
      </c>
      <c r="F181" s="5" t="s">
        <v>2338</v>
      </c>
      <c r="G181" s="5" t="s">
        <v>6929</v>
      </c>
      <c r="H181" s="8">
        <v>1</v>
      </c>
      <c r="I181" s="5"/>
      <c r="J181" s="5" t="s">
        <v>6930</v>
      </c>
    </row>
    <row r="182" spans="1:10" ht="50.1" customHeight="1" x14ac:dyDescent="0.2">
      <c r="A182" s="5" t="s">
        <v>4034</v>
      </c>
      <c r="B182" s="5" t="s">
        <v>6927</v>
      </c>
      <c r="C182" s="5" t="s">
        <v>6931</v>
      </c>
      <c r="D182" s="5" t="s">
        <v>288</v>
      </c>
      <c r="E182" s="5" t="s">
        <v>4034</v>
      </c>
      <c r="F182" s="5" t="s">
        <v>2338</v>
      </c>
      <c r="G182" s="5" t="s">
        <v>6929</v>
      </c>
      <c r="H182" s="8">
        <v>2</v>
      </c>
      <c r="I182" s="5"/>
      <c r="J182" s="5" t="s">
        <v>6930</v>
      </c>
    </row>
    <row r="183" spans="1:10" ht="50.1" customHeight="1" x14ac:dyDescent="0.2">
      <c r="A183" s="5" t="s">
        <v>4074</v>
      </c>
      <c r="B183" s="5" t="s">
        <v>6927</v>
      </c>
      <c r="C183" s="5" t="s">
        <v>6932</v>
      </c>
      <c r="D183" s="5" t="s">
        <v>288</v>
      </c>
      <c r="E183" s="5" t="s">
        <v>4074</v>
      </c>
      <c r="F183" s="5" t="s">
        <v>2338</v>
      </c>
      <c r="G183" s="5" t="s">
        <v>6929</v>
      </c>
      <c r="H183" s="8">
        <v>3</v>
      </c>
      <c r="I183" s="5"/>
      <c r="J183" s="5" t="s">
        <v>6930</v>
      </c>
    </row>
    <row r="184" spans="1:10" ht="50.1" customHeight="1" x14ac:dyDescent="0.2">
      <c r="A184" s="5" t="s">
        <v>4078</v>
      </c>
      <c r="B184" s="5" t="s">
        <v>6927</v>
      </c>
      <c r="C184" s="5" t="s">
        <v>6933</v>
      </c>
      <c r="D184" s="5" t="s">
        <v>288</v>
      </c>
      <c r="E184" s="5" t="s">
        <v>4078</v>
      </c>
      <c r="F184" s="5" t="s">
        <v>2338</v>
      </c>
      <c r="G184" s="5" t="s">
        <v>6929</v>
      </c>
      <c r="H184" s="8">
        <v>4</v>
      </c>
      <c r="I184" s="5"/>
      <c r="J184" s="5" t="s">
        <v>6930</v>
      </c>
    </row>
    <row r="185" spans="1:10" ht="50.1" customHeight="1" x14ac:dyDescent="0.2">
      <c r="A185" s="5" t="s">
        <v>4082</v>
      </c>
      <c r="B185" s="5" t="s">
        <v>6927</v>
      </c>
      <c r="C185" s="5" t="s">
        <v>6934</v>
      </c>
      <c r="D185" s="5" t="s">
        <v>288</v>
      </c>
      <c r="E185" s="5" t="s">
        <v>4082</v>
      </c>
      <c r="F185" s="5" t="s">
        <v>2338</v>
      </c>
      <c r="G185" s="5" t="s">
        <v>6929</v>
      </c>
      <c r="H185" s="8">
        <v>5</v>
      </c>
      <c r="I185" s="5"/>
      <c r="J185" s="5" t="s">
        <v>6930</v>
      </c>
    </row>
    <row r="186" spans="1:10" ht="50.1" customHeight="1" x14ac:dyDescent="0.2">
      <c r="A186" s="5" t="s">
        <v>4087</v>
      </c>
      <c r="B186" s="5" t="s">
        <v>6927</v>
      </c>
      <c r="C186" s="5" t="s">
        <v>6935</v>
      </c>
      <c r="D186" s="5" t="s">
        <v>288</v>
      </c>
      <c r="E186" s="5" t="s">
        <v>4087</v>
      </c>
      <c r="F186" s="5" t="s">
        <v>2338</v>
      </c>
      <c r="G186" s="5" t="s">
        <v>6929</v>
      </c>
      <c r="H186" s="8">
        <v>6</v>
      </c>
      <c r="I186" s="5"/>
      <c r="J186" s="5" t="s">
        <v>6930</v>
      </c>
    </row>
    <row r="187" spans="1:10" ht="50.1" customHeight="1" x14ac:dyDescent="0.2">
      <c r="A187" s="5" t="s">
        <v>4092</v>
      </c>
      <c r="B187" s="5" t="s">
        <v>6927</v>
      </c>
      <c r="C187" s="5" t="s">
        <v>6936</v>
      </c>
      <c r="D187" s="5" t="s">
        <v>288</v>
      </c>
      <c r="E187" s="5" t="s">
        <v>4092</v>
      </c>
      <c r="F187" s="5" t="s">
        <v>2338</v>
      </c>
      <c r="G187" s="5" t="s">
        <v>6929</v>
      </c>
      <c r="H187" s="8">
        <v>7</v>
      </c>
      <c r="I187" s="5"/>
      <c r="J187" s="5" t="s">
        <v>6930</v>
      </c>
    </row>
    <row r="188" spans="1:10" ht="50.1" customHeight="1" x14ac:dyDescent="0.2">
      <c r="A188" s="5" t="s">
        <v>4096</v>
      </c>
      <c r="B188" s="5" t="s">
        <v>6927</v>
      </c>
      <c r="C188" s="5" t="s">
        <v>6937</v>
      </c>
      <c r="D188" s="5" t="s">
        <v>288</v>
      </c>
      <c r="E188" s="5" t="s">
        <v>4096</v>
      </c>
      <c r="F188" s="5" t="s">
        <v>2338</v>
      </c>
      <c r="G188" s="5" t="s">
        <v>6929</v>
      </c>
      <c r="H188" s="8">
        <v>8</v>
      </c>
      <c r="I188" s="5"/>
      <c r="J188" s="5" t="s">
        <v>6930</v>
      </c>
    </row>
    <row r="189" spans="1:10" ht="50.1" customHeight="1" x14ac:dyDescent="0.2">
      <c r="A189" s="5" t="s">
        <v>4151</v>
      </c>
      <c r="B189" s="5" t="s">
        <v>6938</v>
      </c>
      <c r="C189" s="5" t="s">
        <v>6939</v>
      </c>
      <c r="D189" s="5" t="s">
        <v>293</v>
      </c>
      <c r="E189" s="5" t="s">
        <v>4153</v>
      </c>
      <c r="F189" s="5" t="s">
        <v>6738</v>
      </c>
      <c r="G189" s="5" t="s">
        <v>6916</v>
      </c>
      <c r="H189" s="8">
        <v>183</v>
      </c>
      <c r="I189" s="5"/>
      <c r="J189" s="5" t="s">
        <v>6917</v>
      </c>
    </row>
    <row r="190" spans="1:10" ht="50.1" customHeight="1" x14ac:dyDescent="0.2">
      <c r="A190" s="5" t="s">
        <v>4157</v>
      </c>
      <c r="B190" s="5" t="s">
        <v>6938</v>
      </c>
      <c r="C190" s="5" t="s">
        <v>6940</v>
      </c>
      <c r="D190" s="5" t="s">
        <v>293</v>
      </c>
      <c r="E190" s="5" t="s">
        <v>4158</v>
      </c>
      <c r="F190" s="5" t="s">
        <v>6738</v>
      </c>
      <c r="G190" s="5" t="s">
        <v>6916</v>
      </c>
      <c r="H190" s="8">
        <v>184</v>
      </c>
      <c r="I190" s="5"/>
      <c r="J190" s="5" t="s">
        <v>6917</v>
      </c>
    </row>
    <row r="191" spans="1:10" ht="50.1" customHeight="1" x14ac:dyDescent="0.2">
      <c r="A191" s="5" t="s">
        <v>4161</v>
      </c>
      <c r="B191" s="5" t="s">
        <v>6938</v>
      </c>
      <c r="C191" s="5" t="s">
        <v>6941</v>
      </c>
      <c r="D191" s="5" t="s">
        <v>293</v>
      </c>
      <c r="E191" s="5" t="s">
        <v>4162</v>
      </c>
      <c r="F191" s="5" t="s">
        <v>6738</v>
      </c>
      <c r="G191" s="5" t="s">
        <v>6916</v>
      </c>
      <c r="H191" s="8">
        <v>185</v>
      </c>
      <c r="I191" s="5"/>
      <c r="J191" s="5" t="s">
        <v>6917</v>
      </c>
    </row>
    <row r="192" spans="1:10" ht="50.1" customHeight="1" x14ac:dyDescent="0.2">
      <c r="A192" s="5" t="s">
        <v>4025</v>
      </c>
      <c r="B192" s="5" t="s">
        <v>6938</v>
      </c>
      <c r="C192" s="5" t="s">
        <v>6942</v>
      </c>
      <c r="D192" s="5" t="s">
        <v>293</v>
      </c>
      <c r="E192" s="5" t="s">
        <v>4165</v>
      </c>
      <c r="F192" s="5" t="s">
        <v>6738</v>
      </c>
      <c r="G192" s="5" t="s">
        <v>6916</v>
      </c>
      <c r="H192" s="8">
        <v>186</v>
      </c>
      <c r="I192" s="5"/>
      <c r="J192" s="5" t="s">
        <v>6917</v>
      </c>
    </row>
    <row r="193" spans="1:10" ht="50.1" customHeight="1" x14ac:dyDescent="0.2">
      <c r="A193" s="5" t="s">
        <v>4168</v>
      </c>
      <c r="B193" s="5" t="s">
        <v>6938</v>
      </c>
      <c r="C193" s="5" t="s">
        <v>6943</v>
      </c>
      <c r="D193" s="5" t="s">
        <v>293</v>
      </c>
      <c r="E193" s="5" t="s">
        <v>4169</v>
      </c>
      <c r="F193" s="5" t="s">
        <v>6738</v>
      </c>
      <c r="G193" s="5" t="s">
        <v>6916</v>
      </c>
      <c r="H193" s="8">
        <v>187</v>
      </c>
      <c r="I193" s="5"/>
      <c r="J193" s="5" t="s">
        <v>6917</v>
      </c>
    </row>
    <row r="194" spans="1:10" ht="50.1" customHeight="1" x14ac:dyDescent="0.2">
      <c r="A194" s="5" t="s">
        <v>4026</v>
      </c>
      <c r="B194" s="5" t="s">
        <v>6944</v>
      </c>
      <c r="C194" s="5" t="s">
        <v>6945</v>
      </c>
      <c r="D194" s="5" t="s">
        <v>293</v>
      </c>
      <c r="E194" s="5" t="s">
        <v>4026</v>
      </c>
      <c r="F194" s="5" t="s">
        <v>2338</v>
      </c>
      <c r="G194" s="5" t="s">
        <v>6929</v>
      </c>
      <c r="H194" s="8">
        <v>1</v>
      </c>
      <c r="I194" s="5"/>
      <c r="J194" s="5" t="s">
        <v>6930</v>
      </c>
    </row>
    <row r="195" spans="1:10" ht="50.1" customHeight="1" x14ac:dyDescent="0.2">
      <c r="A195" s="5" t="s">
        <v>4074</v>
      </c>
      <c r="B195" s="5" t="s">
        <v>6944</v>
      </c>
      <c r="C195" s="5" t="s">
        <v>6946</v>
      </c>
      <c r="D195" s="5" t="s">
        <v>293</v>
      </c>
      <c r="E195" s="5" t="s">
        <v>4074</v>
      </c>
      <c r="F195" s="5" t="s">
        <v>2338</v>
      </c>
      <c r="G195" s="5" t="s">
        <v>6929</v>
      </c>
      <c r="H195" s="8">
        <v>2</v>
      </c>
      <c r="I195" s="5"/>
      <c r="J195" s="5" t="s">
        <v>6930</v>
      </c>
    </row>
    <row r="196" spans="1:10" ht="50.1" customHeight="1" x14ac:dyDescent="0.2">
      <c r="A196" s="5" t="s">
        <v>4078</v>
      </c>
      <c r="B196" s="5" t="s">
        <v>6944</v>
      </c>
      <c r="C196" s="5" t="s">
        <v>6947</v>
      </c>
      <c r="D196" s="5" t="s">
        <v>293</v>
      </c>
      <c r="E196" s="5" t="s">
        <v>4078</v>
      </c>
      <c r="F196" s="5" t="s">
        <v>2338</v>
      </c>
      <c r="G196" s="5" t="s">
        <v>6929</v>
      </c>
      <c r="H196" s="8">
        <v>3</v>
      </c>
      <c r="I196" s="5"/>
      <c r="J196" s="5" t="s">
        <v>6930</v>
      </c>
    </row>
    <row r="197" spans="1:10" ht="50.1" customHeight="1" x14ac:dyDescent="0.2">
      <c r="A197" s="5" t="s">
        <v>4082</v>
      </c>
      <c r="B197" s="5" t="s">
        <v>6944</v>
      </c>
      <c r="C197" s="5" t="s">
        <v>6948</v>
      </c>
      <c r="D197" s="5" t="s">
        <v>293</v>
      </c>
      <c r="E197" s="5" t="s">
        <v>4082</v>
      </c>
      <c r="F197" s="5" t="s">
        <v>2338</v>
      </c>
      <c r="G197" s="5" t="s">
        <v>6929</v>
      </c>
      <c r="H197" s="8">
        <v>4</v>
      </c>
      <c r="I197" s="5"/>
      <c r="J197" s="5" t="s">
        <v>6930</v>
      </c>
    </row>
    <row r="198" spans="1:10" ht="50.1" customHeight="1" x14ac:dyDescent="0.2">
      <c r="A198" s="5" t="s">
        <v>4087</v>
      </c>
      <c r="B198" s="5" t="s">
        <v>6944</v>
      </c>
      <c r="C198" s="5" t="s">
        <v>6949</v>
      </c>
      <c r="D198" s="5" t="s">
        <v>293</v>
      </c>
      <c r="E198" s="5" t="s">
        <v>4087</v>
      </c>
      <c r="F198" s="5" t="s">
        <v>2338</v>
      </c>
      <c r="G198" s="5" t="s">
        <v>6929</v>
      </c>
      <c r="H198" s="8">
        <v>5</v>
      </c>
      <c r="I198" s="5"/>
      <c r="J198" s="5" t="s">
        <v>6930</v>
      </c>
    </row>
    <row r="199" spans="1:10" ht="50.1" customHeight="1" x14ac:dyDescent="0.2">
      <c r="A199" s="5" t="s">
        <v>4092</v>
      </c>
      <c r="B199" s="5" t="s">
        <v>6944</v>
      </c>
      <c r="C199" s="5" t="s">
        <v>6950</v>
      </c>
      <c r="D199" s="5" t="s">
        <v>293</v>
      </c>
      <c r="E199" s="5" t="s">
        <v>4092</v>
      </c>
      <c r="F199" s="5" t="s">
        <v>2338</v>
      </c>
      <c r="G199" s="5" t="s">
        <v>6929</v>
      </c>
      <c r="H199" s="8">
        <v>6</v>
      </c>
      <c r="I199" s="5"/>
      <c r="J199" s="5" t="s">
        <v>6930</v>
      </c>
    </row>
    <row r="200" spans="1:10" ht="50.1" customHeight="1" x14ac:dyDescent="0.2">
      <c r="A200" s="5" t="s">
        <v>4096</v>
      </c>
      <c r="B200" s="5" t="s">
        <v>6944</v>
      </c>
      <c r="C200" s="5" t="s">
        <v>6951</v>
      </c>
      <c r="D200" s="5" t="s">
        <v>293</v>
      </c>
      <c r="E200" s="5" t="s">
        <v>4096</v>
      </c>
      <c r="F200" s="5" t="s">
        <v>2338</v>
      </c>
      <c r="G200" s="5" t="s">
        <v>6929</v>
      </c>
      <c r="H200" s="8">
        <v>7</v>
      </c>
      <c r="I200" s="5"/>
      <c r="J200" s="5" t="s">
        <v>6930</v>
      </c>
    </row>
    <row r="201" spans="1:10" ht="50.1" customHeight="1" x14ac:dyDescent="0.2">
      <c r="A201" s="5" t="s">
        <v>4172</v>
      </c>
      <c r="B201" s="5" t="s">
        <v>6952</v>
      </c>
      <c r="C201" s="5" t="s">
        <v>6953</v>
      </c>
      <c r="D201" s="5" t="s">
        <v>298</v>
      </c>
      <c r="E201" s="5" t="s">
        <v>4174</v>
      </c>
      <c r="F201" s="5" t="s">
        <v>6738</v>
      </c>
      <c r="G201" s="5" t="s">
        <v>6916</v>
      </c>
      <c r="H201" s="8">
        <v>195</v>
      </c>
      <c r="I201" s="5"/>
      <c r="J201" s="5" t="s">
        <v>6917</v>
      </c>
    </row>
    <row r="202" spans="1:10" ht="50.1" customHeight="1" x14ac:dyDescent="0.2">
      <c r="A202" s="5" t="s">
        <v>4178</v>
      </c>
      <c r="B202" s="5" t="s">
        <v>6952</v>
      </c>
      <c r="C202" s="5" t="s">
        <v>6954</v>
      </c>
      <c r="D202" s="5" t="s">
        <v>298</v>
      </c>
      <c r="E202" s="5" t="s">
        <v>4179</v>
      </c>
      <c r="F202" s="5" t="s">
        <v>6738</v>
      </c>
      <c r="G202" s="5" t="s">
        <v>6916</v>
      </c>
      <c r="H202" s="8">
        <v>196</v>
      </c>
      <c r="I202" s="5"/>
      <c r="J202" s="5" t="s">
        <v>6917</v>
      </c>
    </row>
    <row r="203" spans="1:10" ht="50.1" customHeight="1" x14ac:dyDescent="0.2">
      <c r="A203" s="5" t="s">
        <v>4182</v>
      </c>
      <c r="B203" s="5" t="s">
        <v>6952</v>
      </c>
      <c r="C203" s="5" t="s">
        <v>6955</v>
      </c>
      <c r="D203" s="5" t="s">
        <v>298</v>
      </c>
      <c r="E203" s="5" t="s">
        <v>4183</v>
      </c>
      <c r="F203" s="5" t="s">
        <v>6738</v>
      </c>
      <c r="G203" s="5" t="s">
        <v>6916</v>
      </c>
      <c r="H203" s="8">
        <v>197</v>
      </c>
      <c r="I203" s="5"/>
      <c r="J203" s="5" t="s">
        <v>6917</v>
      </c>
    </row>
    <row r="204" spans="1:10" ht="50.1" customHeight="1" x14ac:dyDescent="0.2">
      <c r="A204" s="5" t="s">
        <v>4041</v>
      </c>
      <c r="B204" s="5" t="s">
        <v>6952</v>
      </c>
      <c r="C204" s="5" t="s">
        <v>6956</v>
      </c>
      <c r="D204" s="5" t="s">
        <v>298</v>
      </c>
      <c r="E204" s="5" t="s">
        <v>4186</v>
      </c>
      <c r="F204" s="5" t="s">
        <v>6738</v>
      </c>
      <c r="G204" s="5" t="s">
        <v>6916</v>
      </c>
      <c r="H204" s="8">
        <v>198</v>
      </c>
      <c r="I204" s="5"/>
      <c r="J204" s="5" t="s">
        <v>6917</v>
      </c>
    </row>
    <row r="205" spans="1:10" ht="50.1" customHeight="1" x14ac:dyDescent="0.2">
      <c r="A205" s="5" t="s">
        <v>4189</v>
      </c>
      <c r="B205" s="5" t="s">
        <v>6952</v>
      </c>
      <c r="C205" s="5" t="s">
        <v>6957</v>
      </c>
      <c r="D205" s="5" t="s">
        <v>298</v>
      </c>
      <c r="E205" s="5" t="s">
        <v>4190</v>
      </c>
      <c r="F205" s="5" t="s">
        <v>6738</v>
      </c>
      <c r="G205" s="5" t="s">
        <v>6916</v>
      </c>
      <c r="H205" s="8">
        <v>199</v>
      </c>
      <c r="I205" s="5"/>
      <c r="J205" s="5" t="s">
        <v>6917</v>
      </c>
    </row>
    <row r="206" spans="1:10" ht="50.1" customHeight="1" x14ac:dyDescent="0.2">
      <c r="A206" s="5" t="s">
        <v>4042</v>
      </c>
      <c r="B206" s="5" t="s">
        <v>6958</v>
      </c>
      <c r="C206" s="5" t="s">
        <v>6959</v>
      </c>
      <c r="D206" s="5" t="s">
        <v>298</v>
      </c>
      <c r="E206" s="5" t="s">
        <v>4042</v>
      </c>
      <c r="F206" s="5" t="s">
        <v>2338</v>
      </c>
      <c r="G206" s="5" t="s">
        <v>6929</v>
      </c>
      <c r="H206" s="8">
        <v>1</v>
      </c>
      <c r="I206" s="5"/>
      <c r="J206" s="5" t="s">
        <v>6930</v>
      </c>
    </row>
    <row r="207" spans="1:10" ht="50.1" customHeight="1" x14ac:dyDescent="0.2">
      <c r="A207" s="5" t="s">
        <v>4074</v>
      </c>
      <c r="B207" s="5" t="s">
        <v>6958</v>
      </c>
      <c r="C207" s="5" t="s">
        <v>6960</v>
      </c>
      <c r="D207" s="5" t="s">
        <v>298</v>
      </c>
      <c r="E207" s="5" t="s">
        <v>4074</v>
      </c>
      <c r="F207" s="5" t="s">
        <v>2338</v>
      </c>
      <c r="G207" s="5" t="s">
        <v>6929</v>
      </c>
      <c r="H207" s="8">
        <v>2</v>
      </c>
      <c r="I207" s="5"/>
      <c r="J207" s="5" t="s">
        <v>6930</v>
      </c>
    </row>
    <row r="208" spans="1:10" ht="50.1" customHeight="1" x14ac:dyDescent="0.2">
      <c r="A208" s="5" t="s">
        <v>4078</v>
      </c>
      <c r="B208" s="5" t="s">
        <v>6958</v>
      </c>
      <c r="C208" s="5" t="s">
        <v>6961</v>
      </c>
      <c r="D208" s="5" t="s">
        <v>298</v>
      </c>
      <c r="E208" s="5" t="s">
        <v>4078</v>
      </c>
      <c r="F208" s="5" t="s">
        <v>2338</v>
      </c>
      <c r="G208" s="5" t="s">
        <v>6929</v>
      </c>
      <c r="H208" s="8">
        <v>3</v>
      </c>
      <c r="I208" s="5"/>
      <c r="J208" s="5" t="s">
        <v>6930</v>
      </c>
    </row>
    <row r="209" spans="1:10" ht="50.1" customHeight="1" x14ac:dyDescent="0.2">
      <c r="A209" s="5" t="s">
        <v>4082</v>
      </c>
      <c r="B209" s="5" t="s">
        <v>6958</v>
      </c>
      <c r="C209" s="5" t="s">
        <v>6962</v>
      </c>
      <c r="D209" s="5" t="s">
        <v>298</v>
      </c>
      <c r="E209" s="5" t="s">
        <v>4082</v>
      </c>
      <c r="F209" s="5" t="s">
        <v>2338</v>
      </c>
      <c r="G209" s="5" t="s">
        <v>6929</v>
      </c>
      <c r="H209" s="8">
        <v>4</v>
      </c>
      <c r="I209" s="5"/>
      <c r="J209" s="5" t="s">
        <v>6930</v>
      </c>
    </row>
    <row r="210" spans="1:10" ht="50.1" customHeight="1" x14ac:dyDescent="0.2">
      <c r="A210" s="5" t="s">
        <v>4087</v>
      </c>
      <c r="B210" s="5" t="s">
        <v>6958</v>
      </c>
      <c r="C210" s="5" t="s">
        <v>6963</v>
      </c>
      <c r="D210" s="5" t="s">
        <v>298</v>
      </c>
      <c r="E210" s="5" t="s">
        <v>4087</v>
      </c>
      <c r="F210" s="5" t="s">
        <v>2338</v>
      </c>
      <c r="G210" s="5" t="s">
        <v>6929</v>
      </c>
      <c r="H210" s="8">
        <v>5</v>
      </c>
      <c r="I210" s="5"/>
      <c r="J210" s="5" t="s">
        <v>6930</v>
      </c>
    </row>
    <row r="211" spans="1:10" ht="50.1" customHeight="1" x14ac:dyDescent="0.2">
      <c r="A211" s="5" t="s">
        <v>4092</v>
      </c>
      <c r="B211" s="5" t="s">
        <v>6958</v>
      </c>
      <c r="C211" s="5" t="s">
        <v>6964</v>
      </c>
      <c r="D211" s="5" t="s">
        <v>298</v>
      </c>
      <c r="E211" s="5" t="s">
        <v>4092</v>
      </c>
      <c r="F211" s="5" t="s">
        <v>2338</v>
      </c>
      <c r="G211" s="5" t="s">
        <v>6929</v>
      </c>
      <c r="H211" s="8">
        <v>6</v>
      </c>
      <c r="I211" s="5"/>
      <c r="J211" s="5" t="s">
        <v>6930</v>
      </c>
    </row>
    <row r="212" spans="1:10" ht="50.1" customHeight="1" x14ac:dyDescent="0.2">
      <c r="A212" s="5" t="s">
        <v>4096</v>
      </c>
      <c r="B212" s="5" t="s">
        <v>6958</v>
      </c>
      <c r="C212" s="5" t="s">
        <v>6965</v>
      </c>
      <c r="D212" s="5" t="s">
        <v>298</v>
      </c>
      <c r="E212" s="5" t="s">
        <v>4096</v>
      </c>
      <c r="F212" s="5" t="s">
        <v>2338</v>
      </c>
      <c r="G212" s="5" t="s">
        <v>6929</v>
      </c>
      <c r="H212" s="8">
        <v>7</v>
      </c>
      <c r="I212" s="5"/>
      <c r="J212" s="5" t="s">
        <v>6930</v>
      </c>
    </row>
    <row r="213" spans="1:10" ht="50.1" customHeight="1" x14ac:dyDescent="0.2">
      <c r="A213" s="5" t="s">
        <v>4193</v>
      </c>
      <c r="B213" s="5" t="s">
        <v>6966</v>
      </c>
      <c r="C213" s="5" t="s">
        <v>6967</v>
      </c>
      <c r="D213" s="5" t="s">
        <v>303</v>
      </c>
      <c r="E213" s="5" t="s">
        <v>4195</v>
      </c>
      <c r="F213" s="5" t="s">
        <v>6738</v>
      </c>
      <c r="G213" s="5" t="s">
        <v>6916</v>
      </c>
      <c r="H213" s="8">
        <v>207</v>
      </c>
      <c r="I213" s="5"/>
      <c r="J213" s="5" t="s">
        <v>6917</v>
      </c>
    </row>
    <row r="214" spans="1:10" ht="50.1" customHeight="1" x14ac:dyDescent="0.2">
      <c r="A214" s="5" t="s">
        <v>4199</v>
      </c>
      <c r="B214" s="5" t="s">
        <v>6966</v>
      </c>
      <c r="C214" s="5" t="s">
        <v>6968</v>
      </c>
      <c r="D214" s="5" t="s">
        <v>303</v>
      </c>
      <c r="E214" s="5" t="s">
        <v>4200</v>
      </c>
      <c r="F214" s="5" t="s">
        <v>6738</v>
      </c>
      <c r="G214" s="5" t="s">
        <v>6916</v>
      </c>
      <c r="H214" s="8">
        <v>208</v>
      </c>
      <c r="I214" s="5"/>
      <c r="J214" s="5" t="s">
        <v>6917</v>
      </c>
    </row>
    <row r="215" spans="1:10" ht="50.1" customHeight="1" x14ac:dyDescent="0.2">
      <c r="A215" s="5" t="s">
        <v>4203</v>
      </c>
      <c r="B215" s="5" t="s">
        <v>6966</v>
      </c>
      <c r="C215" s="5" t="s">
        <v>6969</v>
      </c>
      <c r="D215" s="5" t="s">
        <v>303</v>
      </c>
      <c r="E215" s="5" t="s">
        <v>4204</v>
      </c>
      <c r="F215" s="5" t="s">
        <v>6738</v>
      </c>
      <c r="G215" s="5" t="s">
        <v>6916</v>
      </c>
      <c r="H215" s="8">
        <v>209</v>
      </c>
      <c r="I215" s="5"/>
      <c r="J215" s="5" t="s">
        <v>6917</v>
      </c>
    </row>
    <row r="216" spans="1:10" ht="50.1" customHeight="1" x14ac:dyDescent="0.2">
      <c r="A216" s="5" t="s">
        <v>4049</v>
      </c>
      <c r="B216" s="5" t="s">
        <v>6966</v>
      </c>
      <c r="C216" s="5" t="s">
        <v>6970</v>
      </c>
      <c r="D216" s="5" t="s">
        <v>303</v>
      </c>
      <c r="E216" s="5" t="s">
        <v>4207</v>
      </c>
      <c r="F216" s="5" t="s">
        <v>6738</v>
      </c>
      <c r="G216" s="5" t="s">
        <v>6916</v>
      </c>
      <c r="H216" s="8">
        <v>210</v>
      </c>
      <c r="I216" s="5"/>
      <c r="J216" s="5" t="s">
        <v>6917</v>
      </c>
    </row>
    <row r="217" spans="1:10" ht="50.1" customHeight="1" x14ac:dyDescent="0.2">
      <c r="A217" s="5" t="s">
        <v>4210</v>
      </c>
      <c r="B217" s="5" t="s">
        <v>6966</v>
      </c>
      <c r="C217" s="5" t="s">
        <v>6971</v>
      </c>
      <c r="D217" s="5" t="s">
        <v>303</v>
      </c>
      <c r="E217" s="5" t="s">
        <v>4211</v>
      </c>
      <c r="F217" s="5" t="s">
        <v>6738</v>
      </c>
      <c r="G217" s="5" t="s">
        <v>6916</v>
      </c>
      <c r="H217" s="8">
        <v>211</v>
      </c>
      <c r="I217" s="5"/>
      <c r="J217" s="5" t="s">
        <v>6917</v>
      </c>
    </row>
    <row r="218" spans="1:10" ht="50.1" customHeight="1" x14ac:dyDescent="0.2">
      <c r="A218" s="5" t="s">
        <v>4050</v>
      </c>
      <c r="B218" s="5" t="s">
        <v>6972</v>
      </c>
      <c r="C218" s="5" t="s">
        <v>6973</v>
      </c>
      <c r="D218" s="5" t="s">
        <v>303</v>
      </c>
      <c r="E218" s="5" t="s">
        <v>4050</v>
      </c>
      <c r="F218" s="5" t="s">
        <v>2338</v>
      </c>
      <c r="G218" s="5" t="s">
        <v>6929</v>
      </c>
      <c r="H218" s="8">
        <v>1</v>
      </c>
      <c r="I218" s="5"/>
      <c r="J218" s="5" t="s">
        <v>6930</v>
      </c>
    </row>
    <row r="219" spans="1:10" ht="50.1" customHeight="1" x14ac:dyDescent="0.2">
      <c r="A219" s="5" t="s">
        <v>4074</v>
      </c>
      <c r="B219" s="5" t="s">
        <v>6972</v>
      </c>
      <c r="C219" s="5" t="s">
        <v>6974</v>
      </c>
      <c r="D219" s="5" t="s">
        <v>303</v>
      </c>
      <c r="E219" s="5" t="s">
        <v>4074</v>
      </c>
      <c r="F219" s="5" t="s">
        <v>2338</v>
      </c>
      <c r="G219" s="5" t="s">
        <v>6929</v>
      </c>
      <c r="H219" s="8">
        <v>2</v>
      </c>
      <c r="I219" s="5"/>
      <c r="J219" s="5" t="s">
        <v>6930</v>
      </c>
    </row>
    <row r="220" spans="1:10" ht="50.1" customHeight="1" x14ac:dyDescent="0.2">
      <c r="A220" s="5" t="s">
        <v>4078</v>
      </c>
      <c r="B220" s="5" t="s">
        <v>6972</v>
      </c>
      <c r="C220" s="5" t="s">
        <v>6975</v>
      </c>
      <c r="D220" s="5" t="s">
        <v>303</v>
      </c>
      <c r="E220" s="5" t="s">
        <v>4078</v>
      </c>
      <c r="F220" s="5" t="s">
        <v>2338</v>
      </c>
      <c r="G220" s="5" t="s">
        <v>6929</v>
      </c>
      <c r="H220" s="8">
        <v>3</v>
      </c>
      <c r="I220" s="5"/>
      <c r="J220" s="5" t="s">
        <v>6930</v>
      </c>
    </row>
    <row r="221" spans="1:10" ht="50.1" customHeight="1" x14ac:dyDescent="0.2">
      <c r="A221" s="5" t="s">
        <v>4082</v>
      </c>
      <c r="B221" s="5" t="s">
        <v>6972</v>
      </c>
      <c r="C221" s="5" t="s">
        <v>6976</v>
      </c>
      <c r="D221" s="5" t="s">
        <v>303</v>
      </c>
      <c r="E221" s="5" t="s">
        <v>4082</v>
      </c>
      <c r="F221" s="5" t="s">
        <v>2338</v>
      </c>
      <c r="G221" s="5" t="s">
        <v>6929</v>
      </c>
      <c r="H221" s="8">
        <v>4</v>
      </c>
      <c r="I221" s="5"/>
      <c r="J221" s="5" t="s">
        <v>6930</v>
      </c>
    </row>
    <row r="222" spans="1:10" ht="50.1" customHeight="1" x14ac:dyDescent="0.2">
      <c r="A222" s="5" t="s">
        <v>4087</v>
      </c>
      <c r="B222" s="5" t="s">
        <v>6972</v>
      </c>
      <c r="C222" s="5" t="s">
        <v>6977</v>
      </c>
      <c r="D222" s="5" t="s">
        <v>303</v>
      </c>
      <c r="E222" s="5" t="s">
        <v>4087</v>
      </c>
      <c r="F222" s="5" t="s">
        <v>2338</v>
      </c>
      <c r="G222" s="5" t="s">
        <v>6929</v>
      </c>
      <c r="H222" s="8">
        <v>5</v>
      </c>
      <c r="I222" s="5"/>
      <c r="J222" s="5" t="s">
        <v>6930</v>
      </c>
    </row>
    <row r="223" spans="1:10" ht="50.1" customHeight="1" x14ac:dyDescent="0.2">
      <c r="A223" s="5" t="s">
        <v>4092</v>
      </c>
      <c r="B223" s="5" t="s">
        <v>6972</v>
      </c>
      <c r="C223" s="5" t="s">
        <v>6978</v>
      </c>
      <c r="D223" s="5" t="s">
        <v>303</v>
      </c>
      <c r="E223" s="5" t="s">
        <v>4092</v>
      </c>
      <c r="F223" s="5" t="s">
        <v>2338</v>
      </c>
      <c r="G223" s="5" t="s">
        <v>6929</v>
      </c>
      <c r="H223" s="8">
        <v>6</v>
      </c>
      <c r="I223" s="5"/>
      <c r="J223" s="5" t="s">
        <v>6930</v>
      </c>
    </row>
    <row r="224" spans="1:10" ht="50.1" customHeight="1" x14ac:dyDescent="0.2">
      <c r="A224" s="5" t="s">
        <v>4096</v>
      </c>
      <c r="B224" s="5" t="s">
        <v>6972</v>
      </c>
      <c r="C224" s="5" t="s">
        <v>6979</v>
      </c>
      <c r="D224" s="5" t="s">
        <v>303</v>
      </c>
      <c r="E224" s="5" t="s">
        <v>4096</v>
      </c>
      <c r="F224" s="5" t="s">
        <v>2338</v>
      </c>
      <c r="G224" s="5" t="s">
        <v>6929</v>
      </c>
      <c r="H224" s="8">
        <v>7</v>
      </c>
      <c r="I224" s="5"/>
      <c r="J224" s="5" t="s">
        <v>6930</v>
      </c>
    </row>
    <row r="225" spans="1:10" ht="50.1" customHeight="1" x14ac:dyDescent="0.2">
      <c r="A225" s="5" t="s">
        <v>4214</v>
      </c>
      <c r="B225" s="5" t="s">
        <v>6980</v>
      </c>
      <c r="C225" s="5" t="s">
        <v>6981</v>
      </c>
      <c r="D225" s="5" t="s">
        <v>308</v>
      </c>
      <c r="E225" s="5" t="s">
        <v>4216</v>
      </c>
      <c r="F225" s="5" t="s">
        <v>6738</v>
      </c>
      <c r="G225" s="5" t="s">
        <v>6916</v>
      </c>
      <c r="H225" s="8">
        <v>219</v>
      </c>
      <c r="I225" s="5"/>
      <c r="J225" s="5" t="s">
        <v>6917</v>
      </c>
    </row>
    <row r="226" spans="1:10" ht="50.1" customHeight="1" x14ac:dyDescent="0.2">
      <c r="A226" s="5" t="s">
        <v>4220</v>
      </c>
      <c r="B226" s="5" t="s">
        <v>6980</v>
      </c>
      <c r="C226" s="5" t="s">
        <v>6982</v>
      </c>
      <c r="D226" s="5" t="s">
        <v>308</v>
      </c>
      <c r="E226" s="5" t="s">
        <v>4221</v>
      </c>
      <c r="F226" s="5" t="s">
        <v>6738</v>
      </c>
      <c r="G226" s="5" t="s">
        <v>6916</v>
      </c>
      <c r="H226" s="8">
        <v>220</v>
      </c>
      <c r="I226" s="5"/>
      <c r="J226" s="5" t="s">
        <v>6917</v>
      </c>
    </row>
    <row r="227" spans="1:10" ht="50.1" customHeight="1" x14ac:dyDescent="0.2">
      <c r="A227" s="5" t="s">
        <v>4224</v>
      </c>
      <c r="B227" s="5" t="s">
        <v>6980</v>
      </c>
      <c r="C227" s="5" t="s">
        <v>6983</v>
      </c>
      <c r="D227" s="5" t="s">
        <v>308</v>
      </c>
      <c r="E227" s="5" t="s">
        <v>4225</v>
      </c>
      <c r="F227" s="5" t="s">
        <v>6738</v>
      </c>
      <c r="G227" s="5" t="s">
        <v>6916</v>
      </c>
      <c r="H227" s="8">
        <v>221</v>
      </c>
      <c r="I227" s="5"/>
      <c r="J227" s="5" t="s">
        <v>6917</v>
      </c>
    </row>
    <row r="228" spans="1:10" ht="50.1" customHeight="1" x14ac:dyDescent="0.2">
      <c r="A228" s="5" t="s">
        <v>4057</v>
      </c>
      <c r="B228" s="5" t="s">
        <v>6980</v>
      </c>
      <c r="C228" s="5" t="s">
        <v>6984</v>
      </c>
      <c r="D228" s="5" t="s">
        <v>308</v>
      </c>
      <c r="E228" s="5" t="s">
        <v>4228</v>
      </c>
      <c r="F228" s="5" t="s">
        <v>6738</v>
      </c>
      <c r="G228" s="5" t="s">
        <v>6916</v>
      </c>
      <c r="H228" s="8">
        <v>222</v>
      </c>
      <c r="I228" s="5"/>
      <c r="J228" s="5" t="s">
        <v>6917</v>
      </c>
    </row>
    <row r="229" spans="1:10" ht="50.1" customHeight="1" x14ac:dyDescent="0.2">
      <c r="A229" s="5" t="s">
        <v>4231</v>
      </c>
      <c r="B229" s="5" t="s">
        <v>6980</v>
      </c>
      <c r="C229" s="5" t="s">
        <v>6985</v>
      </c>
      <c r="D229" s="5" t="s">
        <v>308</v>
      </c>
      <c r="E229" s="5" t="s">
        <v>4232</v>
      </c>
      <c r="F229" s="5" t="s">
        <v>6738</v>
      </c>
      <c r="G229" s="5" t="s">
        <v>6916</v>
      </c>
      <c r="H229" s="8">
        <v>223</v>
      </c>
      <c r="I229" s="5"/>
      <c r="J229" s="5" t="s">
        <v>6917</v>
      </c>
    </row>
    <row r="230" spans="1:10" ht="50.1" customHeight="1" x14ac:dyDescent="0.2">
      <c r="A230" s="5" t="s">
        <v>4235</v>
      </c>
      <c r="B230" s="5" t="s">
        <v>6980</v>
      </c>
      <c r="C230" s="5" t="s">
        <v>6986</v>
      </c>
      <c r="D230" s="5" t="s">
        <v>308</v>
      </c>
      <c r="E230" s="5" t="s">
        <v>4236</v>
      </c>
      <c r="F230" s="5" t="s">
        <v>6738</v>
      </c>
      <c r="G230" s="5" t="s">
        <v>6916</v>
      </c>
      <c r="H230" s="8">
        <v>224</v>
      </c>
      <c r="I230" s="5"/>
      <c r="J230" s="5" t="s">
        <v>6917</v>
      </c>
    </row>
    <row r="231" spans="1:10" ht="50.1" customHeight="1" x14ac:dyDescent="0.2">
      <c r="A231" s="5" t="s">
        <v>4239</v>
      </c>
      <c r="B231" s="5" t="s">
        <v>6980</v>
      </c>
      <c r="C231" s="5" t="s">
        <v>6987</v>
      </c>
      <c r="D231" s="5" t="s">
        <v>308</v>
      </c>
      <c r="E231" s="5" t="s">
        <v>4240</v>
      </c>
      <c r="F231" s="5" t="s">
        <v>6738</v>
      </c>
      <c r="G231" s="5" t="s">
        <v>6916</v>
      </c>
      <c r="H231" s="8">
        <v>225</v>
      </c>
      <c r="I231" s="5"/>
      <c r="J231" s="5" t="s">
        <v>6917</v>
      </c>
    </row>
    <row r="232" spans="1:10" ht="50.1" customHeight="1" x14ac:dyDescent="0.2">
      <c r="A232" s="5" t="s">
        <v>4243</v>
      </c>
      <c r="B232" s="5" t="s">
        <v>6980</v>
      </c>
      <c r="C232" s="5" t="s">
        <v>6988</v>
      </c>
      <c r="D232" s="5" t="s">
        <v>308</v>
      </c>
      <c r="E232" s="5" t="s">
        <v>4244</v>
      </c>
      <c r="F232" s="5" t="s">
        <v>6738</v>
      </c>
      <c r="G232" s="5" t="s">
        <v>6916</v>
      </c>
      <c r="H232" s="8">
        <v>226</v>
      </c>
      <c r="I232" s="5"/>
      <c r="J232" s="5" t="s">
        <v>6917</v>
      </c>
    </row>
    <row r="233" spans="1:10" ht="50.1" customHeight="1" x14ac:dyDescent="0.2">
      <c r="A233" s="5" t="s">
        <v>4065</v>
      </c>
      <c r="B233" s="5" t="s">
        <v>6980</v>
      </c>
      <c r="C233" s="5" t="s">
        <v>6989</v>
      </c>
      <c r="D233" s="5" t="s">
        <v>308</v>
      </c>
      <c r="E233" s="5" t="s">
        <v>4247</v>
      </c>
      <c r="F233" s="5" t="s">
        <v>6738</v>
      </c>
      <c r="G233" s="5" t="s">
        <v>6916</v>
      </c>
      <c r="H233" s="8">
        <v>227</v>
      </c>
      <c r="I233" s="5"/>
      <c r="J233" s="5" t="s">
        <v>6917</v>
      </c>
    </row>
    <row r="234" spans="1:10" ht="50.1" customHeight="1" x14ac:dyDescent="0.2">
      <c r="A234" s="5" t="s">
        <v>4250</v>
      </c>
      <c r="B234" s="5" t="s">
        <v>6980</v>
      </c>
      <c r="C234" s="5" t="s">
        <v>6990</v>
      </c>
      <c r="D234" s="5" t="s">
        <v>308</v>
      </c>
      <c r="E234" s="5" t="s">
        <v>4251</v>
      </c>
      <c r="F234" s="5" t="s">
        <v>6738</v>
      </c>
      <c r="G234" s="5" t="s">
        <v>6916</v>
      </c>
      <c r="H234" s="8">
        <v>228</v>
      </c>
      <c r="I234" s="5"/>
      <c r="J234" s="5" t="s">
        <v>6917</v>
      </c>
    </row>
    <row r="235" spans="1:10" ht="50.1" customHeight="1" x14ac:dyDescent="0.2">
      <c r="A235" s="5" t="s">
        <v>4058</v>
      </c>
      <c r="B235" s="5" t="s">
        <v>6991</v>
      </c>
      <c r="C235" s="5" t="s">
        <v>6992</v>
      </c>
      <c r="D235" s="5" t="s">
        <v>308</v>
      </c>
      <c r="E235" s="5" t="s">
        <v>4058</v>
      </c>
      <c r="F235" s="5" t="s">
        <v>2338</v>
      </c>
      <c r="G235" s="5" t="s">
        <v>6929</v>
      </c>
      <c r="H235" s="8">
        <v>1</v>
      </c>
      <c r="I235" s="5"/>
      <c r="J235" s="5" t="s">
        <v>6930</v>
      </c>
    </row>
    <row r="236" spans="1:10" ht="50.1" customHeight="1" x14ac:dyDescent="0.2">
      <c r="A236" s="5" t="s">
        <v>4066</v>
      </c>
      <c r="B236" s="5" t="s">
        <v>6991</v>
      </c>
      <c r="C236" s="5" t="s">
        <v>6993</v>
      </c>
      <c r="D236" s="5" t="s">
        <v>308</v>
      </c>
      <c r="E236" s="5" t="s">
        <v>4066</v>
      </c>
      <c r="F236" s="5" t="s">
        <v>2338</v>
      </c>
      <c r="G236" s="5" t="s">
        <v>6929</v>
      </c>
      <c r="H236" s="8">
        <v>2</v>
      </c>
      <c r="I236" s="5"/>
      <c r="J236" s="5" t="s">
        <v>6930</v>
      </c>
    </row>
    <row r="237" spans="1:10" ht="50.1" customHeight="1" x14ac:dyDescent="0.2">
      <c r="A237" s="5" t="s">
        <v>4074</v>
      </c>
      <c r="B237" s="5" t="s">
        <v>6991</v>
      </c>
      <c r="C237" s="5" t="s">
        <v>6994</v>
      </c>
      <c r="D237" s="5" t="s">
        <v>308</v>
      </c>
      <c r="E237" s="5" t="s">
        <v>4074</v>
      </c>
      <c r="F237" s="5" t="s">
        <v>2338</v>
      </c>
      <c r="G237" s="5" t="s">
        <v>6929</v>
      </c>
      <c r="H237" s="8">
        <v>3</v>
      </c>
      <c r="I237" s="5"/>
      <c r="J237" s="5" t="s">
        <v>6930</v>
      </c>
    </row>
    <row r="238" spans="1:10" ht="50.1" customHeight="1" x14ac:dyDescent="0.2">
      <c r="A238" s="5" t="s">
        <v>4078</v>
      </c>
      <c r="B238" s="5" t="s">
        <v>6991</v>
      </c>
      <c r="C238" s="5" t="s">
        <v>6995</v>
      </c>
      <c r="D238" s="5" t="s">
        <v>308</v>
      </c>
      <c r="E238" s="5" t="s">
        <v>4078</v>
      </c>
      <c r="F238" s="5" t="s">
        <v>2338</v>
      </c>
      <c r="G238" s="5" t="s">
        <v>6929</v>
      </c>
      <c r="H238" s="8">
        <v>4</v>
      </c>
      <c r="I238" s="5"/>
      <c r="J238" s="5" t="s">
        <v>6930</v>
      </c>
    </row>
    <row r="239" spans="1:10" ht="50.1" customHeight="1" x14ac:dyDescent="0.2">
      <c r="A239" s="5" t="s">
        <v>4082</v>
      </c>
      <c r="B239" s="5" t="s">
        <v>6991</v>
      </c>
      <c r="C239" s="5" t="s">
        <v>6996</v>
      </c>
      <c r="D239" s="5" t="s">
        <v>308</v>
      </c>
      <c r="E239" s="5" t="s">
        <v>4082</v>
      </c>
      <c r="F239" s="5" t="s">
        <v>2338</v>
      </c>
      <c r="G239" s="5" t="s">
        <v>6929</v>
      </c>
      <c r="H239" s="8">
        <v>5</v>
      </c>
      <c r="I239" s="5"/>
      <c r="J239" s="5" t="s">
        <v>6930</v>
      </c>
    </row>
    <row r="240" spans="1:10" ht="50.1" customHeight="1" x14ac:dyDescent="0.2">
      <c r="A240" s="5" t="s">
        <v>4087</v>
      </c>
      <c r="B240" s="5" t="s">
        <v>6991</v>
      </c>
      <c r="C240" s="5" t="s">
        <v>6997</v>
      </c>
      <c r="D240" s="5" t="s">
        <v>308</v>
      </c>
      <c r="E240" s="5" t="s">
        <v>4087</v>
      </c>
      <c r="F240" s="5" t="s">
        <v>2338</v>
      </c>
      <c r="G240" s="5" t="s">
        <v>6929</v>
      </c>
      <c r="H240" s="8">
        <v>6</v>
      </c>
      <c r="I240" s="5"/>
      <c r="J240" s="5" t="s">
        <v>6930</v>
      </c>
    </row>
    <row r="241" spans="1:10" ht="50.1" customHeight="1" x14ac:dyDescent="0.2">
      <c r="A241" s="5" t="s">
        <v>4092</v>
      </c>
      <c r="B241" s="5" t="s">
        <v>6991</v>
      </c>
      <c r="C241" s="5" t="s">
        <v>6998</v>
      </c>
      <c r="D241" s="5" t="s">
        <v>308</v>
      </c>
      <c r="E241" s="5" t="s">
        <v>4092</v>
      </c>
      <c r="F241" s="5" t="s">
        <v>2338</v>
      </c>
      <c r="G241" s="5" t="s">
        <v>6929</v>
      </c>
      <c r="H241" s="8">
        <v>7</v>
      </c>
      <c r="I241" s="5"/>
      <c r="J241" s="5" t="s">
        <v>6930</v>
      </c>
    </row>
    <row r="242" spans="1:10" ht="50.1" customHeight="1" x14ac:dyDescent="0.2">
      <c r="A242" s="5" t="s">
        <v>4096</v>
      </c>
      <c r="B242" s="5" t="s">
        <v>6991</v>
      </c>
      <c r="C242" s="5" t="s">
        <v>6999</v>
      </c>
      <c r="D242" s="5" t="s">
        <v>308</v>
      </c>
      <c r="E242" s="5" t="s">
        <v>4096</v>
      </c>
      <c r="F242" s="5" t="s">
        <v>2338</v>
      </c>
      <c r="G242" s="5" t="s">
        <v>6929</v>
      </c>
      <c r="H242" s="8">
        <v>8</v>
      </c>
      <c r="I242" s="5"/>
      <c r="J242" s="5" t="s">
        <v>6930</v>
      </c>
    </row>
    <row r="243" spans="1:10" ht="50.1" customHeight="1" x14ac:dyDescent="0.2">
      <c r="A243" s="5" t="s">
        <v>4254</v>
      </c>
      <c r="B243" s="5" t="s">
        <v>7000</v>
      </c>
      <c r="C243" s="5" t="s">
        <v>7001</v>
      </c>
      <c r="D243" s="5" t="s">
        <v>313</v>
      </c>
      <c r="E243" s="5" t="s">
        <v>4256</v>
      </c>
      <c r="F243" s="5" t="s">
        <v>6738</v>
      </c>
      <c r="G243" s="5" t="s">
        <v>7002</v>
      </c>
      <c r="H243" s="8">
        <v>237</v>
      </c>
      <c r="I243" s="5"/>
      <c r="J243" s="5" t="s">
        <v>7003</v>
      </c>
    </row>
    <row r="244" spans="1:10" ht="50.1" customHeight="1" x14ac:dyDescent="0.2">
      <c r="A244" s="5" t="s">
        <v>4260</v>
      </c>
      <c r="B244" s="5" t="s">
        <v>7000</v>
      </c>
      <c r="C244" s="5" t="s">
        <v>7004</v>
      </c>
      <c r="D244" s="5" t="s">
        <v>313</v>
      </c>
      <c r="E244" s="5" t="s">
        <v>4261</v>
      </c>
      <c r="F244" s="5" t="s">
        <v>6738</v>
      </c>
      <c r="G244" s="5" t="s">
        <v>7002</v>
      </c>
      <c r="H244" s="8">
        <v>238</v>
      </c>
      <c r="I244" s="5"/>
      <c r="J244" s="5" t="s">
        <v>7003</v>
      </c>
    </row>
    <row r="245" spans="1:10" ht="50.1" customHeight="1" x14ac:dyDescent="0.2">
      <c r="A245" s="5" t="s">
        <v>4264</v>
      </c>
      <c r="B245" s="5" t="s">
        <v>7000</v>
      </c>
      <c r="C245" s="5" t="s">
        <v>7005</v>
      </c>
      <c r="D245" s="5" t="s">
        <v>313</v>
      </c>
      <c r="E245" s="5" t="s">
        <v>4265</v>
      </c>
      <c r="F245" s="5" t="s">
        <v>6738</v>
      </c>
      <c r="G245" s="5" t="s">
        <v>7002</v>
      </c>
      <c r="H245" s="8">
        <v>239</v>
      </c>
      <c r="I245" s="5"/>
      <c r="J245" s="5" t="s">
        <v>7003</v>
      </c>
    </row>
    <row r="246" spans="1:10" ht="50.1" customHeight="1" x14ac:dyDescent="0.2">
      <c r="A246" s="5" t="s">
        <v>4020</v>
      </c>
      <c r="B246" s="5" t="s">
        <v>7006</v>
      </c>
      <c r="C246" s="5" t="s">
        <v>7007</v>
      </c>
      <c r="D246" s="5" t="s">
        <v>313</v>
      </c>
      <c r="E246" s="5" t="s">
        <v>4125</v>
      </c>
      <c r="F246" s="5" t="s">
        <v>2338</v>
      </c>
      <c r="G246" s="5" t="s">
        <v>7008</v>
      </c>
      <c r="H246" s="8">
        <v>1</v>
      </c>
      <c r="I246" s="5"/>
      <c r="J246" s="5" t="s">
        <v>7009</v>
      </c>
    </row>
    <row r="247" spans="1:10" ht="50.1" customHeight="1" x14ac:dyDescent="0.2">
      <c r="A247" s="5" t="s">
        <v>4028</v>
      </c>
      <c r="B247" s="5" t="s">
        <v>7006</v>
      </c>
      <c r="C247" s="5" t="s">
        <v>7010</v>
      </c>
      <c r="D247" s="5" t="s">
        <v>313</v>
      </c>
      <c r="E247" s="5" t="s">
        <v>4165</v>
      </c>
      <c r="F247" s="5" t="s">
        <v>2338</v>
      </c>
      <c r="G247" s="5" t="s">
        <v>7008</v>
      </c>
      <c r="H247" s="8">
        <v>2</v>
      </c>
      <c r="I247" s="5"/>
      <c r="J247" s="5" t="s">
        <v>7009</v>
      </c>
    </row>
    <row r="248" spans="1:10" ht="50.1" customHeight="1" x14ac:dyDescent="0.2">
      <c r="A248" s="5" t="s">
        <v>4036</v>
      </c>
      <c r="B248" s="5" t="s">
        <v>7006</v>
      </c>
      <c r="C248" s="5" t="s">
        <v>7011</v>
      </c>
      <c r="D248" s="5" t="s">
        <v>313</v>
      </c>
      <c r="E248" s="5" t="s">
        <v>4144</v>
      </c>
      <c r="F248" s="5" t="s">
        <v>2338</v>
      </c>
      <c r="G248" s="5" t="s">
        <v>7008</v>
      </c>
      <c r="H248" s="8">
        <v>3</v>
      </c>
      <c r="I248" s="5"/>
      <c r="J248" s="5" t="s">
        <v>7009</v>
      </c>
    </row>
    <row r="249" spans="1:10" ht="50.1" customHeight="1" x14ac:dyDescent="0.2">
      <c r="A249" s="5" t="s">
        <v>4044</v>
      </c>
      <c r="B249" s="5" t="s">
        <v>7006</v>
      </c>
      <c r="C249" s="5" t="s">
        <v>7012</v>
      </c>
      <c r="D249" s="5" t="s">
        <v>313</v>
      </c>
      <c r="E249" s="5" t="s">
        <v>4186</v>
      </c>
      <c r="F249" s="5" t="s">
        <v>2338</v>
      </c>
      <c r="G249" s="5" t="s">
        <v>7008</v>
      </c>
      <c r="H249" s="8">
        <v>4</v>
      </c>
      <c r="I249" s="5"/>
      <c r="J249" s="5" t="s">
        <v>7009</v>
      </c>
    </row>
    <row r="250" spans="1:10" ht="50.1" customHeight="1" x14ac:dyDescent="0.2">
      <c r="A250" s="5" t="s">
        <v>4052</v>
      </c>
      <c r="B250" s="5" t="s">
        <v>7006</v>
      </c>
      <c r="C250" s="5" t="s">
        <v>7013</v>
      </c>
      <c r="D250" s="5" t="s">
        <v>313</v>
      </c>
      <c r="E250" s="5" t="s">
        <v>4207</v>
      </c>
      <c r="F250" s="5" t="s">
        <v>2338</v>
      </c>
      <c r="G250" s="5" t="s">
        <v>7008</v>
      </c>
      <c r="H250" s="8">
        <v>5</v>
      </c>
      <c r="I250" s="5"/>
      <c r="J250" s="5" t="s">
        <v>7009</v>
      </c>
    </row>
    <row r="251" spans="1:10" ht="50.1" customHeight="1" x14ac:dyDescent="0.2">
      <c r="A251" s="5" t="s">
        <v>4060</v>
      </c>
      <c r="B251" s="5" t="s">
        <v>7006</v>
      </c>
      <c r="C251" s="5" t="s">
        <v>7014</v>
      </c>
      <c r="D251" s="5" t="s">
        <v>313</v>
      </c>
      <c r="E251" s="5" t="s">
        <v>4228</v>
      </c>
      <c r="F251" s="5" t="s">
        <v>2338</v>
      </c>
      <c r="G251" s="5" t="s">
        <v>7008</v>
      </c>
      <c r="H251" s="8">
        <v>6</v>
      </c>
      <c r="I251" s="5"/>
      <c r="J251" s="5" t="s">
        <v>7009</v>
      </c>
    </row>
    <row r="252" spans="1:10" ht="50.1" customHeight="1" x14ac:dyDescent="0.2">
      <c r="A252" s="5" t="s">
        <v>4068</v>
      </c>
      <c r="B252" s="5" t="s">
        <v>7006</v>
      </c>
      <c r="C252" s="5" t="s">
        <v>7015</v>
      </c>
      <c r="D252" s="5" t="s">
        <v>313</v>
      </c>
      <c r="E252" s="5" t="s">
        <v>4247</v>
      </c>
      <c r="F252" s="5" t="s">
        <v>2338</v>
      </c>
      <c r="G252" s="5" t="s">
        <v>7008</v>
      </c>
      <c r="H252" s="8">
        <v>7</v>
      </c>
      <c r="I252" s="5"/>
      <c r="J252" s="5" t="s">
        <v>7009</v>
      </c>
    </row>
    <row r="253" spans="1:10" ht="50.1" customHeight="1" x14ac:dyDescent="0.2">
      <c r="A253" s="5" t="s">
        <v>4366</v>
      </c>
      <c r="B253" s="5" t="s">
        <v>7016</v>
      </c>
      <c r="C253" s="5" t="s">
        <v>7017</v>
      </c>
      <c r="D253" s="5" t="s">
        <v>317</v>
      </c>
      <c r="E253" s="5" t="s">
        <v>4367</v>
      </c>
      <c r="F253" s="5" t="s">
        <v>6738</v>
      </c>
      <c r="G253" s="5" t="s">
        <v>7018</v>
      </c>
      <c r="H253" s="8">
        <v>247</v>
      </c>
      <c r="I253" s="5"/>
      <c r="J253" s="5" t="s">
        <v>7019</v>
      </c>
    </row>
    <row r="254" spans="1:10" ht="50.1" customHeight="1" x14ac:dyDescent="0.2">
      <c r="A254" s="5" t="s">
        <v>4369</v>
      </c>
      <c r="B254" s="5" t="s">
        <v>7016</v>
      </c>
      <c r="C254" s="5" t="s">
        <v>7020</v>
      </c>
      <c r="D254" s="5" t="s">
        <v>317</v>
      </c>
      <c r="E254" s="5" t="s">
        <v>4370</v>
      </c>
      <c r="F254" s="5" t="s">
        <v>6738</v>
      </c>
      <c r="G254" s="5" t="s">
        <v>7018</v>
      </c>
      <c r="H254" s="8">
        <v>248</v>
      </c>
      <c r="I254" s="5"/>
      <c r="J254" s="5" t="s">
        <v>7019</v>
      </c>
    </row>
    <row r="255" spans="1:10" ht="50.1" customHeight="1" x14ac:dyDescent="0.2">
      <c r="A255" s="5" t="s">
        <v>4373</v>
      </c>
      <c r="B255" s="5" t="s">
        <v>7016</v>
      </c>
      <c r="C255" s="5" t="s">
        <v>7021</v>
      </c>
      <c r="D255" s="5" t="s">
        <v>317</v>
      </c>
      <c r="E255" s="5" t="s">
        <v>4374</v>
      </c>
      <c r="F255" s="5" t="s">
        <v>6738</v>
      </c>
      <c r="G255" s="5" t="s">
        <v>7018</v>
      </c>
      <c r="H255" s="8">
        <v>249</v>
      </c>
      <c r="I255" s="5"/>
      <c r="J255" s="5" t="s">
        <v>7019</v>
      </c>
    </row>
    <row r="256" spans="1:10" ht="50.1" customHeight="1" x14ac:dyDescent="0.2">
      <c r="A256" s="5" t="s">
        <v>4377</v>
      </c>
      <c r="B256" s="5" t="s">
        <v>7016</v>
      </c>
      <c r="C256" s="5" t="s">
        <v>7022</v>
      </c>
      <c r="D256" s="5" t="s">
        <v>317</v>
      </c>
      <c r="E256" s="5" t="s">
        <v>4378</v>
      </c>
      <c r="F256" s="5" t="s">
        <v>6738</v>
      </c>
      <c r="G256" s="5" t="s">
        <v>7018</v>
      </c>
      <c r="H256" s="8">
        <v>250</v>
      </c>
      <c r="I256" s="5"/>
      <c r="J256" s="5" t="s">
        <v>7019</v>
      </c>
    </row>
    <row r="257" spans="1:10" ht="50.1" customHeight="1" x14ac:dyDescent="0.2">
      <c r="A257" s="5" t="s">
        <v>4381</v>
      </c>
      <c r="B257" s="5" t="s">
        <v>7016</v>
      </c>
      <c r="C257" s="5" t="s">
        <v>7023</v>
      </c>
      <c r="D257" s="5" t="s">
        <v>317</v>
      </c>
      <c r="E257" s="5" t="s">
        <v>4382</v>
      </c>
      <c r="F257" s="5" t="s">
        <v>6738</v>
      </c>
      <c r="G257" s="5" t="s">
        <v>7018</v>
      </c>
      <c r="H257" s="8">
        <v>251</v>
      </c>
      <c r="I257" s="5"/>
      <c r="J257" s="5" t="s">
        <v>7019</v>
      </c>
    </row>
    <row r="258" spans="1:10" ht="50.1" customHeight="1" x14ac:dyDescent="0.2">
      <c r="A258" s="5" t="s">
        <v>4261</v>
      </c>
      <c r="B258" s="5" t="s">
        <v>7024</v>
      </c>
      <c r="C258" s="5" t="s">
        <v>7025</v>
      </c>
      <c r="D258" s="5" t="s">
        <v>317</v>
      </c>
      <c r="E258" s="5" t="s">
        <v>4261</v>
      </c>
      <c r="F258" s="5" t="s">
        <v>2338</v>
      </c>
      <c r="G258" s="5" t="s">
        <v>7026</v>
      </c>
      <c r="H258" s="8">
        <v>1</v>
      </c>
      <c r="I258" s="5"/>
      <c r="J258" s="5" t="s">
        <v>7027</v>
      </c>
    </row>
    <row r="259" spans="1:10" ht="50.1" customHeight="1" x14ac:dyDescent="0.2">
      <c r="A259" s="5" t="s">
        <v>4265</v>
      </c>
      <c r="B259" s="5" t="s">
        <v>7024</v>
      </c>
      <c r="C259" s="5" t="s">
        <v>7028</v>
      </c>
      <c r="D259" s="5" t="s">
        <v>317</v>
      </c>
      <c r="E259" s="5" t="s">
        <v>4265</v>
      </c>
      <c r="F259" s="5" t="s">
        <v>2338</v>
      </c>
      <c r="G259" s="5" t="s">
        <v>7026</v>
      </c>
      <c r="H259" s="8">
        <v>2</v>
      </c>
      <c r="I259" s="5"/>
      <c r="J259" s="5" t="s">
        <v>7027</v>
      </c>
    </row>
    <row r="260" spans="1:10" ht="50.1" customHeight="1" x14ac:dyDescent="0.2">
      <c r="A260" s="5" t="s">
        <v>4125</v>
      </c>
      <c r="B260" s="5" t="s">
        <v>7024</v>
      </c>
      <c r="C260" s="5" t="s">
        <v>7029</v>
      </c>
      <c r="D260" s="5" t="s">
        <v>317</v>
      </c>
      <c r="E260" s="5" t="s">
        <v>4125</v>
      </c>
      <c r="F260" s="5" t="s">
        <v>2338</v>
      </c>
      <c r="G260" s="5" t="s">
        <v>7026</v>
      </c>
      <c r="H260" s="8">
        <v>3</v>
      </c>
      <c r="I260" s="5"/>
      <c r="J260" s="5" t="s">
        <v>7027</v>
      </c>
    </row>
    <row r="261" spans="1:10" ht="50.1" customHeight="1" x14ac:dyDescent="0.2">
      <c r="A261" s="5" t="s">
        <v>4165</v>
      </c>
      <c r="B261" s="5" t="s">
        <v>7024</v>
      </c>
      <c r="C261" s="5" t="s">
        <v>7030</v>
      </c>
      <c r="D261" s="5" t="s">
        <v>317</v>
      </c>
      <c r="E261" s="5" t="s">
        <v>4165</v>
      </c>
      <c r="F261" s="5" t="s">
        <v>2338</v>
      </c>
      <c r="G261" s="5" t="s">
        <v>7026</v>
      </c>
      <c r="H261" s="8">
        <v>4</v>
      </c>
      <c r="I261" s="5"/>
      <c r="J261" s="5" t="s">
        <v>7027</v>
      </c>
    </row>
    <row r="262" spans="1:10" ht="50.1" customHeight="1" x14ac:dyDescent="0.2">
      <c r="A262" s="5" t="s">
        <v>4144</v>
      </c>
      <c r="B262" s="5" t="s">
        <v>7024</v>
      </c>
      <c r="C262" s="5" t="s">
        <v>7031</v>
      </c>
      <c r="D262" s="5" t="s">
        <v>317</v>
      </c>
      <c r="E262" s="5" t="s">
        <v>4144</v>
      </c>
      <c r="F262" s="5" t="s">
        <v>2338</v>
      </c>
      <c r="G262" s="5" t="s">
        <v>7026</v>
      </c>
      <c r="H262" s="8">
        <v>5</v>
      </c>
      <c r="I262" s="5"/>
      <c r="J262" s="5" t="s">
        <v>7027</v>
      </c>
    </row>
    <row r="263" spans="1:10" ht="50.1" customHeight="1" x14ac:dyDescent="0.2">
      <c r="A263" s="5" t="s">
        <v>4186</v>
      </c>
      <c r="B263" s="5" t="s">
        <v>7024</v>
      </c>
      <c r="C263" s="5" t="s">
        <v>7032</v>
      </c>
      <c r="D263" s="5" t="s">
        <v>317</v>
      </c>
      <c r="E263" s="5" t="s">
        <v>4186</v>
      </c>
      <c r="F263" s="5" t="s">
        <v>2338</v>
      </c>
      <c r="G263" s="5" t="s">
        <v>7026</v>
      </c>
      <c r="H263" s="8">
        <v>6</v>
      </c>
      <c r="I263" s="5"/>
      <c r="J263" s="5" t="s">
        <v>7027</v>
      </c>
    </row>
    <row r="264" spans="1:10" ht="50.1" customHeight="1" x14ac:dyDescent="0.2">
      <c r="A264" s="5" t="s">
        <v>4207</v>
      </c>
      <c r="B264" s="5" t="s">
        <v>7024</v>
      </c>
      <c r="C264" s="5" t="s">
        <v>7033</v>
      </c>
      <c r="D264" s="5" t="s">
        <v>317</v>
      </c>
      <c r="E264" s="5" t="s">
        <v>4207</v>
      </c>
      <c r="F264" s="5" t="s">
        <v>2338</v>
      </c>
      <c r="G264" s="5" t="s">
        <v>7026</v>
      </c>
      <c r="H264" s="8">
        <v>7</v>
      </c>
      <c r="I264" s="5"/>
      <c r="J264" s="5" t="s">
        <v>7027</v>
      </c>
    </row>
    <row r="265" spans="1:10" ht="50.1" customHeight="1" x14ac:dyDescent="0.2">
      <c r="A265" s="5" t="s">
        <v>4228</v>
      </c>
      <c r="B265" s="5" t="s">
        <v>7024</v>
      </c>
      <c r="C265" s="5" t="s">
        <v>7034</v>
      </c>
      <c r="D265" s="5" t="s">
        <v>317</v>
      </c>
      <c r="E265" s="5" t="s">
        <v>4228</v>
      </c>
      <c r="F265" s="5" t="s">
        <v>2338</v>
      </c>
      <c r="G265" s="5" t="s">
        <v>7026</v>
      </c>
      <c r="H265" s="8">
        <v>8</v>
      </c>
      <c r="I265" s="5"/>
      <c r="J265" s="5" t="s">
        <v>7027</v>
      </c>
    </row>
    <row r="266" spans="1:10" ht="50.1" customHeight="1" x14ac:dyDescent="0.2">
      <c r="A266" s="5" t="s">
        <v>4247</v>
      </c>
      <c r="B266" s="5" t="s">
        <v>7024</v>
      </c>
      <c r="C266" s="5" t="s">
        <v>7035</v>
      </c>
      <c r="D266" s="5" t="s">
        <v>317</v>
      </c>
      <c r="E266" s="5" t="s">
        <v>4247</v>
      </c>
      <c r="F266" s="5" t="s">
        <v>2338</v>
      </c>
      <c r="G266" s="5" t="s">
        <v>7026</v>
      </c>
      <c r="H266" s="8">
        <v>9</v>
      </c>
      <c r="I266" s="5"/>
      <c r="J266" s="5" t="s">
        <v>7027</v>
      </c>
    </row>
    <row r="267" spans="1:10" ht="50.1" customHeight="1" x14ac:dyDescent="0.2">
      <c r="A267" s="5" t="s">
        <v>4367</v>
      </c>
      <c r="B267" s="5" t="s">
        <v>7036</v>
      </c>
      <c r="C267" s="5" t="s">
        <v>7037</v>
      </c>
      <c r="D267" s="5" t="s">
        <v>153</v>
      </c>
      <c r="E267" s="5" t="s">
        <v>4367</v>
      </c>
      <c r="F267" s="5" t="s">
        <v>2338</v>
      </c>
      <c r="G267" s="5" t="s">
        <v>7038</v>
      </c>
      <c r="H267" s="8">
        <v>1</v>
      </c>
      <c r="I267" s="5"/>
      <c r="J267" s="5" t="s">
        <v>7039</v>
      </c>
    </row>
    <row r="268" spans="1:10" ht="50.1" customHeight="1" x14ac:dyDescent="0.2">
      <c r="A268" s="5" t="s">
        <v>4387</v>
      </c>
      <c r="B268" s="5" t="s">
        <v>7036</v>
      </c>
      <c r="C268" s="5" t="s">
        <v>7040</v>
      </c>
      <c r="D268" s="5" t="s">
        <v>153</v>
      </c>
      <c r="E268" s="5" t="s">
        <v>4387</v>
      </c>
      <c r="F268" s="5" t="s">
        <v>6738</v>
      </c>
      <c r="G268" s="5" t="s">
        <v>7038</v>
      </c>
      <c r="H268" s="8">
        <v>2</v>
      </c>
      <c r="I268" s="5"/>
      <c r="J268" s="5" t="s">
        <v>7039</v>
      </c>
    </row>
    <row r="269" spans="1:10" ht="50.1" customHeight="1" x14ac:dyDescent="0.2">
      <c r="A269" s="5" t="s">
        <v>4392</v>
      </c>
      <c r="B269" s="5" t="s">
        <v>7036</v>
      </c>
      <c r="C269" s="5" t="s">
        <v>7041</v>
      </c>
      <c r="D269" s="5" t="s">
        <v>153</v>
      </c>
      <c r="E269" s="5" t="s">
        <v>4392</v>
      </c>
      <c r="F269" s="5" t="s">
        <v>6738</v>
      </c>
      <c r="G269" s="5" t="s">
        <v>7038</v>
      </c>
      <c r="H269" s="8">
        <v>3</v>
      </c>
      <c r="I269" s="5"/>
      <c r="J269" s="5" t="s">
        <v>7039</v>
      </c>
    </row>
    <row r="270" spans="1:10" ht="50.1" customHeight="1" x14ac:dyDescent="0.2">
      <c r="A270" s="5" t="s">
        <v>4396</v>
      </c>
      <c r="B270" s="5" t="s">
        <v>7036</v>
      </c>
      <c r="C270" s="5" t="s">
        <v>7042</v>
      </c>
      <c r="D270" s="5" t="s">
        <v>153</v>
      </c>
      <c r="E270" s="5" t="s">
        <v>4396</v>
      </c>
      <c r="F270" s="5" t="s">
        <v>6738</v>
      </c>
      <c r="G270" s="5" t="s">
        <v>7038</v>
      </c>
      <c r="H270" s="8">
        <v>4</v>
      </c>
      <c r="I270" s="5"/>
      <c r="J270" s="5" t="s">
        <v>7039</v>
      </c>
    </row>
  </sheetData>
  <dataValidations count="5">
    <dataValidation type="list" sqref="D7:D1200" xr:uid="{00000000-0002-0000-1A00-000000000000}">
      <formula1>og_list_3</formula1>
    </dataValidation>
    <dataValidation type="list" sqref="E7:E1200" xr:uid="{00000000-0002-0000-1A00-000001000000}">
      <formula1>og_list_8</formula1>
    </dataValidation>
    <dataValidation type="list" sqref="F7:F1200" xr:uid="{00000000-0002-0000-1A00-000002000000}">
      <formula1>"INPUT,OUTPUT"</formula1>
    </dataValidation>
    <dataValidation type="whole" sqref="H7:H1200" xr:uid="{00000000-0002-0000-1A00-000003000000}">
      <formula1>0</formula1>
      <formula2>1000000</formula2>
    </dataValidation>
    <dataValidation type="list" sqref="I7:I1200" xr:uid="{00000000-0002-0000-1A00-000004000000}">
      <formula1>og_list_20</formula1>
    </dataValidation>
  </dataValidations>
  <pageMargins left="0.7" right="0.7" top="0.75" bottom="0.75" header="0.3" footer="0.3"/>
  <tableParts count="1">
    <tablePart r:id="rId1"/>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67E8F9"/>
  </sheetPr>
  <dimension ref="A1:J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8" width="29.0546875" customWidth="1"/>
    <col min="9" max="9" width="48.0234375" customWidth="1"/>
    <col min="10" max="10" width="29.0546875" customWidth="1"/>
  </cols>
  <sheetData>
    <row r="1" spans="1:10" ht="21.75" x14ac:dyDescent="0.25">
      <c r="A1" s="3" t="s">
        <v>7043</v>
      </c>
      <c r="B1" s="2"/>
      <c r="C1" s="2"/>
      <c r="D1" s="2"/>
      <c r="E1" s="2"/>
      <c r="F1" s="2"/>
      <c r="G1" s="2"/>
      <c r="H1" s="2"/>
      <c r="I1" s="2"/>
      <c r="J1" s="2"/>
    </row>
    <row r="2" spans="1:10" x14ac:dyDescent="0.2">
      <c r="A2" s="2" t="str">
        <f>HYPERLINK("#'Home'!A1","Home")</f>
        <v>Home</v>
      </c>
      <c r="B2" s="2" t="str">
        <f>HYPERLINK("#'Reader'!A1","Read a record")</f>
        <v>Read a record</v>
      </c>
      <c r="C2" s="2"/>
      <c r="D2" s="2"/>
      <c r="E2" s="2"/>
      <c r="F2" s="2"/>
      <c r="G2" s="2"/>
      <c r="H2" s="2"/>
      <c r="I2" s="2"/>
      <c r="J2" s="2"/>
    </row>
    <row r="3" spans="1:10" ht="45.95" customHeight="1" x14ac:dyDescent="0.2">
      <c r="A3" s="2" t="s">
        <v>2371</v>
      </c>
      <c r="B3" s="2"/>
      <c r="C3" s="2"/>
      <c r="D3" s="2"/>
      <c r="E3" s="2"/>
      <c r="F3" s="2"/>
      <c r="G3" s="2"/>
      <c r="H3" s="2"/>
      <c r="I3" s="2"/>
      <c r="J3" s="2"/>
    </row>
    <row r="4" spans="1:10" ht="16.5" x14ac:dyDescent="0.2">
      <c r="A4" s="4" t="str">
        <f>HYPERLINK("#'Field Dictionary'!A289","📄🗺️ - 1 - SHORT TEXT")</f>
        <v>📄🗺️ - 1 - SHORT TEXT</v>
      </c>
      <c r="B4" s="4" t="str">
        <f>HYPERLINK("#'Field Dictionary'!A290","📄🗺️ - 2 - LONG TEXT")</f>
        <v>📄🗺️ - 2 - LONG TEXT</v>
      </c>
      <c r="C4" s="4" t="str">
        <f>HYPERLINK("#'Field Dictionary'!A291","📄🗺️ - 3 - SHORT TEXT")</f>
        <v>📄🗺️ - 3 - SHORT TEXT</v>
      </c>
      <c r="D4" s="4" t="str">
        <f>HYPERLINK("#'Field Dictionary'!A292","📄🗺️ - 4 - LINKED RECORD")</f>
        <v>📄🗺️ - 4 - LINKED RECORD</v>
      </c>
      <c r="E4" s="4" t="str">
        <f>HYPERLINK("#'Field Dictionary'!A293","📄🗺️ - 5 - LINKED RECORD")</f>
        <v>📄🗺️ - 5 - LINKED RECORD</v>
      </c>
      <c r="F4" s="4" t="str">
        <f>HYPERLINK("#'Field Dictionary'!A294","📄🗺️ - 6 - LINKED RECORD")</f>
        <v>📄🗺️ - 6 - LINKED RECORD</v>
      </c>
      <c r="G4" s="4" t="str">
        <f>HYPERLINK("#'Field Dictionary'!A295","📄🗺️ - 7 - LINKED RECORD")</f>
        <v>📄🗺️ - 7 - LINKED RECORD</v>
      </c>
      <c r="H4" s="4" t="str">
        <f>HYPERLINK("#'Field Dictionary'!A296","📄🗺️ - 8 - LINKED RECORD")</f>
        <v>📄🗺️ - 8 - LINKED RECORD</v>
      </c>
      <c r="I4" s="4" t="str">
        <f>HYPERLINK("#'Field Dictionary'!A297","📄🗺️ - 9 - LONG TEXT")</f>
        <v>📄🗺️ - 9 - LONG TEXT</v>
      </c>
      <c r="J4" s="4" t="str">
        <f>HYPERLINK("#'Field Dictionary'!A298","📄🗺️ - 10 - LINKED RECORD")</f>
        <v>📄🗺️ - 10 - LINKED RECORD</v>
      </c>
    </row>
    <row r="5" spans="1:10" ht="38.1" customHeight="1" x14ac:dyDescent="0.2">
      <c r="A5" s="7" t="s">
        <v>100</v>
      </c>
      <c r="B5" s="7" t="s">
        <v>101</v>
      </c>
      <c r="C5" s="7" t="s">
        <v>102</v>
      </c>
      <c r="D5" s="7" t="s">
        <v>158</v>
      </c>
      <c r="E5" s="7" t="s">
        <v>7044</v>
      </c>
      <c r="F5" s="7" t="s">
        <v>7045</v>
      </c>
      <c r="G5" s="7" t="s">
        <v>7046</v>
      </c>
      <c r="H5" s="7" t="s">
        <v>7047</v>
      </c>
      <c r="I5" s="7" t="s">
        <v>7048</v>
      </c>
      <c r="J5" s="7" t="s">
        <v>7049</v>
      </c>
    </row>
    <row r="6" spans="1:10" ht="38.1" customHeight="1" x14ac:dyDescent="0.2">
      <c r="A6" s="7" t="s">
        <v>115</v>
      </c>
      <c r="B6" s="7" t="s">
        <v>116</v>
      </c>
      <c r="C6" s="7" t="s">
        <v>117</v>
      </c>
      <c r="D6" s="7" t="s">
        <v>167</v>
      </c>
      <c r="E6" s="7" t="s">
        <v>6260</v>
      </c>
      <c r="F6" s="7" t="s">
        <v>6262</v>
      </c>
      <c r="G6" s="7" t="s">
        <v>6264</v>
      </c>
      <c r="H6" s="7" t="s">
        <v>6266</v>
      </c>
      <c r="I6" s="7" t="s">
        <v>6269</v>
      </c>
      <c r="J6" s="7" t="s">
        <v>6272</v>
      </c>
    </row>
    <row r="7" spans="1:10" ht="57" customHeight="1" x14ac:dyDescent="0.2">
      <c r="A7" s="5" t="s">
        <v>3868</v>
      </c>
      <c r="B7" s="5" t="s">
        <v>2371</v>
      </c>
      <c r="C7" s="5" t="s">
        <v>3871</v>
      </c>
      <c r="D7" s="5" t="s">
        <v>3869</v>
      </c>
      <c r="E7" s="5" t="s">
        <v>142</v>
      </c>
      <c r="F7" s="5" t="s">
        <v>137</v>
      </c>
      <c r="G7" s="5" t="s">
        <v>138</v>
      </c>
      <c r="H7" s="5" t="s">
        <v>139</v>
      </c>
      <c r="I7" s="5" t="s">
        <v>7050</v>
      </c>
      <c r="J7" s="5" t="s">
        <v>145</v>
      </c>
    </row>
    <row r="8" spans="1:10" ht="117" customHeight="1" x14ac:dyDescent="0.2">
      <c r="A8" s="5" t="s">
        <v>3906</v>
      </c>
      <c r="B8" s="5" t="s">
        <v>264</v>
      </c>
      <c r="C8" s="5" t="s">
        <v>3909</v>
      </c>
      <c r="D8" s="5" t="s">
        <v>3907</v>
      </c>
      <c r="E8" s="5" t="s">
        <v>150</v>
      </c>
      <c r="F8" s="5" t="s">
        <v>137</v>
      </c>
      <c r="G8" s="5" t="s">
        <v>138</v>
      </c>
      <c r="H8" s="5" t="s">
        <v>139</v>
      </c>
      <c r="I8" s="5" t="s">
        <v>7051</v>
      </c>
      <c r="J8" s="5"/>
    </row>
    <row r="9" spans="1:10" ht="78" customHeight="1" x14ac:dyDescent="0.2">
      <c r="A9" s="5"/>
      <c r="B9" s="5"/>
      <c r="C9" s="5"/>
      <c r="D9" s="5"/>
      <c r="E9" s="5"/>
      <c r="F9" s="5"/>
      <c r="G9" s="5"/>
      <c r="H9" s="5"/>
      <c r="I9" s="5"/>
      <c r="J9" s="5"/>
    </row>
  </sheetData>
  <dataValidations count="6">
    <dataValidation type="list" sqref="D7:D1200" xr:uid="{00000000-0002-0000-1B00-000000000000}">
      <formula1>og_list_8</formula1>
    </dataValidation>
    <dataValidation type="list" sqref="E7:E1200" xr:uid="{00000000-0002-0000-1B00-000001000000}">
      <formula1>og_list_9</formula1>
    </dataValidation>
    <dataValidation type="list" sqref="F7:F1200" xr:uid="{00000000-0002-0000-1B00-000002000000}">
      <formula1>og_list_5</formula1>
    </dataValidation>
    <dataValidation type="list" sqref="G7:G1200" xr:uid="{00000000-0002-0000-1B00-000003000000}">
      <formula1>og_list_6</formula1>
    </dataValidation>
    <dataValidation type="list" sqref="H7:H1200" xr:uid="{00000000-0002-0000-1B00-000004000000}">
      <formula1>og_list_7</formula1>
    </dataValidation>
    <dataValidation type="list" sqref="J7:J1200" xr:uid="{00000000-0002-0000-1B00-000005000000}">
      <formula1>og_list_4</formula1>
    </dataValidation>
  </dataValidations>
  <pageMargins left="0.7" right="0.7" top="0.75" bottom="0.75" header="0.3" footer="0.3"/>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67E8F9"/>
  </sheetPr>
  <dimension ref="A1:J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6" width="48.0234375" customWidth="1"/>
    <col min="7" max="8" width="29.0546875" customWidth="1"/>
    <col min="9" max="10" width="48.0234375" customWidth="1"/>
  </cols>
  <sheetData>
    <row r="1" spans="1:10" ht="21.75" x14ac:dyDescent="0.25">
      <c r="A1" s="3" t="s">
        <v>7052</v>
      </c>
      <c r="B1" s="2"/>
      <c r="C1" s="2"/>
      <c r="D1" s="2"/>
      <c r="E1" s="2"/>
      <c r="F1" s="2"/>
      <c r="G1" s="2"/>
      <c r="H1" s="2"/>
      <c r="I1" s="2"/>
      <c r="J1" s="2"/>
    </row>
    <row r="2" spans="1:10" x14ac:dyDescent="0.2">
      <c r="A2" s="2" t="str">
        <f>HYPERLINK("#'Home'!A1","Home")</f>
        <v>Home</v>
      </c>
      <c r="B2" s="2" t="str">
        <f>HYPERLINK("#'Reader'!A1","Read a record")</f>
        <v>Read a record</v>
      </c>
      <c r="C2" s="2"/>
      <c r="D2" s="2"/>
      <c r="E2" s="2"/>
      <c r="F2" s="2"/>
      <c r="G2" s="2"/>
      <c r="H2" s="2"/>
      <c r="I2" s="2"/>
      <c r="J2" s="2"/>
    </row>
    <row r="3" spans="1:10" ht="45.95" customHeight="1" x14ac:dyDescent="0.2">
      <c r="A3" s="2" t="s">
        <v>2430</v>
      </c>
      <c r="B3" s="2"/>
      <c r="C3" s="2"/>
      <c r="D3" s="2"/>
      <c r="E3" s="2"/>
      <c r="F3" s="2"/>
      <c r="G3" s="2"/>
      <c r="H3" s="2"/>
      <c r="I3" s="2"/>
      <c r="J3" s="2"/>
    </row>
    <row r="4" spans="1:10" ht="16.5" x14ac:dyDescent="0.2">
      <c r="A4" s="4" t="str">
        <f>HYPERLINK("#'Field Dictionary'!A299","📄🧱 - 1 - SHORT TEXT")</f>
        <v>📄🧱 - 1 - SHORT TEXT</v>
      </c>
      <c r="B4" s="4" t="str">
        <f>HYPERLINK("#'Field Dictionary'!A300","📄🧱 - 2 - LONG TEXT")</f>
        <v>📄🧱 - 2 - LONG TEXT</v>
      </c>
      <c r="C4" s="4" t="str">
        <f>HYPERLINK("#'Field Dictionary'!A301","📄🧱 - 3 - SHORT TEXT")</f>
        <v>📄🧱 - 3 - SHORT TEXT</v>
      </c>
      <c r="D4" s="4" t="str">
        <f>HYPERLINK("#'Field Dictionary'!A302","📄🧱 - 4 - LINKED RECORD")</f>
        <v>📄🧱 - 4 - LINKED RECORD</v>
      </c>
      <c r="E4" s="4" t="str">
        <f>HYPERLINK("#'Field Dictionary'!A303","📄🧱 - 5 - SINGLE SELECT")</f>
        <v>📄🧱 - 5 - SINGLE SELECT</v>
      </c>
      <c r="F4" s="4" t="str">
        <f>HYPERLINK("#'Field Dictionary'!A304","📄🧱 - 6 - LONG TEXT")</f>
        <v>📄🧱 - 6 - LONG TEXT</v>
      </c>
      <c r="G4" s="4" t="str">
        <f>HYPERLINK("#'Field Dictionary'!A305","📄🧱 - 7 - LINKED RECORD")</f>
        <v>📄🧱 - 7 - LINKED RECORD</v>
      </c>
      <c r="H4" s="4" t="str">
        <f>HYPERLINK("#'Field Dictionary'!A306","📄🧱 - 8 - LINKED RECORD")</f>
        <v>📄🧱 - 8 - LINKED RECORD</v>
      </c>
      <c r="I4" s="4" t="str">
        <f>HYPERLINK("#'Field Dictionary'!A307","📄🧱 - 9 - LONG TEXT")</f>
        <v>📄🧱 - 9 - LONG TEXT</v>
      </c>
      <c r="J4" s="4" t="str">
        <f>HYPERLINK("#'Field Dictionary'!A308","📄🧱 - 10 - LONG TEXT")</f>
        <v>📄🧱 - 10 - LONG TEXT</v>
      </c>
    </row>
    <row r="5" spans="1:10" ht="38.1" customHeight="1" x14ac:dyDescent="0.2">
      <c r="A5" s="7" t="s">
        <v>100</v>
      </c>
      <c r="B5" s="7" t="s">
        <v>101</v>
      </c>
      <c r="C5" s="7" t="s">
        <v>102</v>
      </c>
      <c r="D5" s="7" t="s">
        <v>158</v>
      </c>
      <c r="E5" s="7" t="s">
        <v>7053</v>
      </c>
      <c r="F5" s="7" t="s">
        <v>7054</v>
      </c>
      <c r="G5" s="7" t="s">
        <v>7055</v>
      </c>
      <c r="H5" s="7" t="s">
        <v>7056</v>
      </c>
      <c r="I5" s="7" t="s">
        <v>7057</v>
      </c>
      <c r="J5" s="7" t="s">
        <v>7058</v>
      </c>
    </row>
    <row r="6" spans="1:10" ht="38.1" customHeight="1" x14ac:dyDescent="0.2">
      <c r="A6" s="7" t="s">
        <v>115</v>
      </c>
      <c r="B6" s="7" t="s">
        <v>116</v>
      </c>
      <c r="C6" s="7" t="s">
        <v>117</v>
      </c>
      <c r="D6" s="7" t="s">
        <v>167</v>
      </c>
      <c r="E6" s="7" t="s">
        <v>6279</v>
      </c>
      <c r="F6" s="7" t="s">
        <v>6283</v>
      </c>
      <c r="G6" s="7" t="s">
        <v>6286</v>
      </c>
      <c r="H6" s="7" t="s">
        <v>6289</v>
      </c>
      <c r="I6" s="7" t="s">
        <v>6292</v>
      </c>
      <c r="J6" s="7" t="s">
        <v>6295</v>
      </c>
    </row>
    <row r="7" spans="1:10" ht="72" customHeight="1" x14ac:dyDescent="0.2">
      <c r="A7" s="5" t="s">
        <v>3853</v>
      </c>
      <c r="B7" s="5" t="s">
        <v>2430</v>
      </c>
      <c r="C7" s="5" t="s">
        <v>137</v>
      </c>
      <c r="D7" s="5" t="s">
        <v>3854</v>
      </c>
      <c r="E7" s="5" t="s">
        <v>2462</v>
      </c>
      <c r="F7" s="5" t="s">
        <v>7059</v>
      </c>
      <c r="G7" s="5" t="s">
        <v>138</v>
      </c>
      <c r="H7" s="5" t="s">
        <v>139</v>
      </c>
      <c r="I7" s="5" t="s">
        <v>7060</v>
      </c>
      <c r="J7" s="5" t="s">
        <v>7061</v>
      </c>
    </row>
    <row r="8" spans="1:10" ht="78" customHeight="1" x14ac:dyDescent="0.2">
      <c r="A8" s="5"/>
      <c r="B8" s="5"/>
      <c r="C8" s="5"/>
      <c r="D8" s="5"/>
      <c r="E8" s="5"/>
      <c r="F8" s="5"/>
      <c r="G8" s="5"/>
      <c r="H8" s="5"/>
      <c r="I8" s="5"/>
      <c r="J8" s="5"/>
    </row>
    <row r="9" spans="1:10" ht="78" customHeight="1" x14ac:dyDescent="0.2">
      <c r="A9" s="5"/>
      <c r="B9" s="5"/>
      <c r="C9" s="5"/>
      <c r="D9" s="5"/>
      <c r="E9" s="5"/>
      <c r="F9" s="5"/>
      <c r="G9" s="5"/>
      <c r="H9" s="5"/>
      <c r="I9" s="5"/>
      <c r="J9" s="5"/>
    </row>
  </sheetData>
  <dataValidations count="4">
    <dataValidation type="list" sqref="D7:D1200" xr:uid="{00000000-0002-0000-1C00-000000000000}">
      <formula1>og_list_8</formula1>
    </dataValidation>
    <dataValidation type="list" sqref="E7:E1200" xr:uid="{00000000-0002-0000-1C00-000001000000}">
      <formula1>"DOCX,PDF,HTML"</formula1>
    </dataValidation>
    <dataValidation type="list" sqref="G7:G1200" xr:uid="{00000000-0002-0000-1C00-000002000000}">
      <formula1>og_list_6</formula1>
    </dataValidation>
    <dataValidation type="list" sqref="H7:H1200" xr:uid="{00000000-0002-0000-1C00-000003000000}">
      <formula1>og_list_7</formula1>
    </dataValidation>
  </dataValidations>
  <pageMargins left="0.7" right="0.7" top="0.75" bottom="0.75" header="0.3" footer="0.3"/>
  <tableParts count="1">
    <tablePart r:id="rId1"/>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67E8F9"/>
  </sheetPr>
  <dimension ref="A1:M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9" width="29.0546875" customWidth="1"/>
    <col min="10" max="13" width="48.0234375" customWidth="1"/>
  </cols>
  <sheetData>
    <row r="1" spans="1:13" ht="21.75" x14ac:dyDescent="0.25">
      <c r="A1" s="3" t="s">
        <v>7062</v>
      </c>
      <c r="B1" s="2"/>
      <c r="C1" s="2"/>
      <c r="D1" s="2"/>
      <c r="E1" s="2"/>
      <c r="F1" s="2"/>
      <c r="G1" s="2"/>
      <c r="H1" s="2"/>
      <c r="I1" s="2"/>
      <c r="J1" s="2"/>
      <c r="K1" s="2"/>
      <c r="L1" s="2"/>
      <c r="M1" s="2"/>
    </row>
    <row r="2" spans="1:13" x14ac:dyDescent="0.2">
      <c r="A2" s="2" t="str">
        <f>HYPERLINK("#'Home'!A1","Home")</f>
        <v>Home</v>
      </c>
      <c r="B2" s="2" t="str">
        <f>HYPERLINK("#'Reader'!A1","Read a record")</f>
        <v>Read a record</v>
      </c>
      <c r="C2" s="2"/>
      <c r="D2" s="2"/>
      <c r="E2" s="2"/>
      <c r="F2" s="2"/>
      <c r="G2" s="2"/>
      <c r="H2" s="2"/>
      <c r="I2" s="2"/>
      <c r="J2" s="2"/>
      <c r="K2" s="2"/>
      <c r="L2" s="2"/>
      <c r="M2" s="2"/>
    </row>
    <row r="3" spans="1:13" ht="45.95" customHeight="1" x14ac:dyDescent="0.2">
      <c r="A3" s="2" t="s">
        <v>2498</v>
      </c>
      <c r="B3" s="2"/>
      <c r="C3" s="2"/>
      <c r="D3" s="2"/>
      <c r="E3" s="2"/>
      <c r="F3" s="2"/>
      <c r="G3" s="2"/>
      <c r="H3" s="2"/>
      <c r="I3" s="2"/>
      <c r="J3" s="2"/>
      <c r="K3" s="2"/>
      <c r="L3" s="2"/>
      <c r="M3" s="2"/>
    </row>
    <row r="4" spans="1:13" ht="16.5" x14ac:dyDescent="0.2">
      <c r="A4" s="4" t="str">
        <f>HYPERLINK("#'Field Dictionary'!A309","📄🕳️ - 1 - SHORT TEXT")</f>
        <v>📄🕳️ - 1 - SHORT TEXT</v>
      </c>
      <c r="B4" s="4" t="str">
        <f>HYPERLINK("#'Field Dictionary'!A310","📄🕳️ - 2 - LONG TEXT")</f>
        <v>📄🕳️ - 2 - LONG TEXT</v>
      </c>
      <c r="C4" s="4" t="str">
        <f>HYPERLINK("#'Field Dictionary'!A311","📄🕳️ - 3 - SHORT TEXT")</f>
        <v>📄🕳️ - 3 - SHORT TEXT</v>
      </c>
      <c r="D4" s="4" t="str">
        <f>HYPERLINK("#'Field Dictionary'!A312","📄🕳️ - 4 - LINKED RECORD")</f>
        <v>📄🕳️ - 4 - LINKED RECORD</v>
      </c>
      <c r="E4" s="4" t="str">
        <f>HYPERLINK("#'Field Dictionary'!A313","📄🕳️ - 5 - LINKED RECORD")</f>
        <v>📄🕳️ - 5 - LINKED RECORD</v>
      </c>
      <c r="F4" s="4" t="str">
        <f>HYPERLINK("#'Field Dictionary'!A314","📄🕳️ - 6 - SHORT TEXT")</f>
        <v>📄🕳️ - 6 - SHORT TEXT</v>
      </c>
      <c r="G4" s="4" t="str">
        <f>HYPERLINK("#'Field Dictionary'!A315","📄🕳️ - 7 - SINGLE SELECT")</f>
        <v>📄🕳️ - 7 - SINGLE SELECT</v>
      </c>
      <c r="H4" s="4" t="str">
        <f>HYPERLINK("#'Field Dictionary'!A316","📄🕳️ - 8 - SHORT TEXT")</f>
        <v>📄🕳️ - 8 - SHORT TEXT</v>
      </c>
      <c r="I4" s="4" t="str">
        <f>HYPERLINK("#'Field Dictionary'!A317","📄🕳️ - 9 - SINGLE SELECT")</f>
        <v>📄🕳️ - 9 - SINGLE SELECT</v>
      </c>
      <c r="J4" s="4" t="str">
        <f>HYPERLINK("#'Field Dictionary'!A318","📄🕳️ - 10 - LONG TEXT")</f>
        <v>📄🕳️ - 10 - LONG TEXT</v>
      </c>
      <c r="K4" s="4" t="str">
        <f>HYPERLINK("#'Field Dictionary'!A319","📄🕳️ - 11 - LONG TEXT")</f>
        <v>📄🕳️ - 11 - LONG TEXT</v>
      </c>
      <c r="L4" s="4" t="str">
        <f>HYPERLINK("#'Field Dictionary'!A320","📄🕳️ - 12 - LONG TEXT")</f>
        <v>📄🕳️ - 12 - LONG TEXT</v>
      </c>
      <c r="M4" s="4" t="str">
        <f>HYPERLINK("#'Field Dictionary'!A321","📄🕳️ - 13 - LONG TEXT")</f>
        <v>📄🕳️ - 13 - LONG TEXT</v>
      </c>
    </row>
    <row r="5" spans="1:13" ht="38.1" customHeight="1" x14ac:dyDescent="0.2">
      <c r="A5" s="7" t="s">
        <v>100</v>
      </c>
      <c r="B5" s="7" t="s">
        <v>101</v>
      </c>
      <c r="C5" s="7" t="s">
        <v>102</v>
      </c>
      <c r="D5" s="7" t="s">
        <v>158</v>
      </c>
      <c r="E5" s="7" t="s">
        <v>7063</v>
      </c>
      <c r="F5" s="7" t="s">
        <v>7064</v>
      </c>
      <c r="G5" s="7" t="s">
        <v>7065</v>
      </c>
      <c r="H5" s="7" t="s">
        <v>7066</v>
      </c>
      <c r="I5" s="7" t="s">
        <v>7067</v>
      </c>
      <c r="J5" s="7" t="s">
        <v>7068</v>
      </c>
      <c r="K5" s="7" t="s">
        <v>7069</v>
      </c>
      <c r="L5" s="7" t="s">
        <v>7070</v>
      </c>
      <c r="M5" s="7" t="s">
        <v>7071</v>
      </c>
    </row>
    <row r="6" spans="1:13" ht="38.1" customHeight="1" x14ac:dyDescent="0.2">
      <c r="A6" s="7" t="s">
        <v>115</v>
      </c>
      <c r="B6" s="7" t="s">
        <v>116</v>
      </c>
      <c r="C6" s="7" t="s">
        <v>117</v>
      </c>
      <c r="D6" s="7" t="s">
        <v>167</v>
      </c>
      <c r="E6" s="7" t="s">
        <v>6301</v>
      </c>
      <c r="F6" s="7" t="s">
        <v>6304</v>
      </c>
      <c r="G6" s="7" t="s">
        <v>6306</v>
      </c>
      <c r="H6" s="7" t="s">
        <v>6309</v>
      </c>
      <c r="I6" s="7" t="s">
        <v>6312</v>
      </c>
      <c r="J6" s="7" t="s">
        <v>6316</v>
      </c>
      <c r="K6" s="7" t="s">
        <v>6319</v>
      </c>
      <c r="L6" s="7" t="s">
        <v>6322</v>
      </c>
      <c r="M6" s="7" t="s">
        <v>6325</v>
      </c>
    </row>
    <row r="7" spans="1:13" ht="57" customHeight="1" x14ac:dyDescent="0.2">
      <c r="A7" s="5" t="s">
        <v>3856</v>
      </c>
      <c r="B7" s="5" t="s">
        <v>2498</v>
      </c>
      <c r="C7" s="5" t="s">
        <v>3859</v>
      </c>
      <c r="D7" s="5" t="s">
        <v>3857</v>
      </c>
      <c r="E7" s="5" t="s">
        <v>137</v>
      </c>
      <c r="F7" s="5" t="s">
        <v>1446</v>
      </c>
      <c r="G7" s="5" t="s">
        <v>1446</v>
      </c>
      <c r="H7" s="5" t="s">
        <v>7072</v>
      </c>
      <c r="I7" s="5" t="s">
        <v>7073</v>
      </c>
      <c r="J7" s="5" t="s">
        <v>7074</v>
      </c>
      <c r="K7" s="5" t="s">
        <v>7075</v>
      </c>
      <c r="L7" s="5" t="s">
        <v>7076</v>
      </c>
      <c r="M7" s="5" t="s">
        <v>4693</v>
      </c>
    </row>
    <row r="8" spans="1:13" ht="57" customHeight="1" x14ac:dyDescent="0.2">
      <c r="A8" s="5" t="s">
        <v>3860</v>
      </c>
      <c r="B8" s="5" t="s">
        <v>2498</v>
      </c>
      <c r="C8" s="5" t="s">
        <v>3863</v>
      </c>
      <c r="D8" s="5" t="s">
        <v>3861</v>
      </c>
      <c r="E8" s="5" t="s">
        <v>137</v>
      </c>
      <c r="F8" s="5" t="s">
        <v>4920</v>
      </c>
      <c r="G8" s="5" t="s">
        <v>4920</v>
      </c>
      <c r="H8" s="5" t="s">
        <v>7072</v>
      </c>
      <c r="I8" s="5" t="s">
        <v>7073</v>
      </c>
      <c r="J8" s="5" t="s">
        <v>7074</v>
      </c>
      <c r="K8" s="5" t="s">
        <v>7077</v>
      </c>
      <c r="L8" s="5" t="s">
        <v>7076</v>
      </c>
      <c r="M8" s="5" t="s">
        <v>4693</v>
      </c>
    </row>
    <row r="9" spans="1:13" ht="57" customHeight="1" x14ac:dyDescent="0.2">
      <c r="A9" s="5" t="s">
        <v>3864</v>
      </c>
      <c r="B9" s="5" t="s">
        <v>2498</v>
      </c>
      <c r="C9" s="5" t="s">
        <v>3867</v>
      </c>
      <c r="D9" s="5" t="s">
        <v>3865</v>
      </c>
      <c r="E9" s="5" t="s">
        <v>137</v>
      </c>
      <c r="F9" s="5" t="s">
        <v>4650</v>
      </c>
      <c r="G9" s="5" t="s">
        <v>4650</v>
      </c>
      <c r="H9" s="5" t="s">
        <v>7072</v>
      </c>
      <c r="I9" s="5" t="s">
        <v>7073</v>
      </c>
      <c r="J9" s="5" t="s">
        <v>7074</v>
      </c>
      <c r="K9" s="5" t="s">
        <v>7078</v>
      </c>
      <c r="L9" s="5" t="s">
        <v>7076</v>
      </c>
      <c r="M9" s="5" t="s">
        <v>7079</v>
      </c>
    </row>
  </sheetData>
  <dataValidations count="4">
    <dataValidation type="list" sqref="D7:D1200" xr:uid="{00000000-0002-0000-1D00-000000000000}">
      <formula1>og_list_8</formula1>
    </dataValidation>
    <dataValidation type="list" sqref="E7:E1200" xr:uid="{00000000-0002-0000-1D00-000001000000}">
      <formula1>og_list_5</formula1>
    </dataValidation>
    <dataValidation type="list" sqref="G7:G1200" xr:uid="{00000000-0002-0000-1D00-000002000000}">
      <formula1>"HEADER,CONTINUANCE,FIGURE"</formula1>
    </dataValidation>
    <dataValidation type="list" sqref="I7:I1200" xr:uid="{00000000-0002-0000-1D00-000003000000}">
      <formula1>"REQUIRED,OPTIONAL,REPEATABLE"</formula1>
    </dataValidation>
  </dataValidations>
  <pageMargins left="0.7" right="0.7" top="0.75" bottom="0.75" header="0.3" footer="0.3"/>
  <tableParts count="1">
    <tablePart r:id="rId1"/>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67E8F9"/>
  </sheetPr>
  <dimension ref="A1:G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4" width="29.0546875" customWidth="1"/>
    <col min="5" max="5" width="34.03125" customWidth="1"/>
    <col min="6" max="7" width="48.0234375" customWidth="1"/>
  </cols>
  <sheetData>
    <row r="1" spans="1:7" ht="21.75" x14ac:dyDescent="0.25">
      <c r="A1" s="3" t="s">
        <v>7080</v>
      </c>
      <c r="B1" s="2"/>
      <c r="C1" s="2"/>
      <c r="D1" s="2"/>
      <c r="E1" s="2"/>
      <c r="F1" s="2"/>
      <c r="G1" s="2"/>
    </row>
    <row r="2" spans="1:7" x14ac:dyDescent="0.2">
      <c r="A2" s="2" t="str">
        <f>HYPERLINK("#'Home'!A1","Home")</f>
        <v>Home</v>
      </c>
      <c r="B2" s="2" t="str">
        <f>HYPERLINK("#'Reader'!A1","Read a record")</f>
        <v>Read a record</v>
      </c>
      <c r="C2" s="2"/>
      <c r="D2" s="2"/>
      <c r="E2" s="2"/>
      <c r="F2" s="2"/>
      <c r="G2" s="2"/>
    </row>
    <row r="3" spans="1:7" ht="45.95" customHeight="1" x14ac:dyDescent="0.2">
      <c r="A3" s="2" t="s">
        <v>2590</v>
      </c>
      <c r="B3" s="2"/>
      <c r="C3" s="2"/>
      <c r="D3" s="2"/>
      <c r="E3" s="2"/>
      <c r="F3" s="2"/>
      <c r="G3" s="2"/>
    </row>
    <row r="4" spans="1:7" ht="16.5" x14ac:dyDescent="0.2">
      <c r="A4" s="4" t="str">
        <f>HYPERLINK("#'Field Dictionary'!A322","📋⚙️ - 1 - SHORT TEXT")</f>
        <v>📋⚙️ - 1 - SHORT TEXT</v>
      </c>
      <c r="B4" s="4" t="str">
        <f>HYPERLINK("#'Field Dictionary'!A323","📋⚙️ - 2 - LONG TEXT")</f>
        <v>📋⚙️ - 2 - LONG TEXT</v>
      </c>
      <c r="C4" s="4" t="str">
        <f>HYPERLINK("#'Field Dictionary'!A324","📋⚙️ - 3 - SHORT TEXT")</f>
        <v>📋⚙️ - 3 - SHORT TEXT</v>
      </c>
      <c r="D4" s="4" t="str">
        <f>HYPERLINK("#'Field Dictionary'!A325","📋⚙️ - 4 - LINKED RECORD")</f>
        <v>📋⚙️ - 4 - LINKED RECORD</v>
      </c>
      <c r="E4" s="4" t="str">
        <f>HYPERLINK("#'Field Dictionary'!A326","📋⚙️ - 5 - LINKED RECORDS")</f>
        <v>📋⚙️ - 5 - LINKED RECORDS</v>
      </c>
      <c r="F4" s="4" t="str">
        <f>HYPERLINK("#'Field Dictionary'!A327","📋⚙️ - 6 - LONG TEXT")</f>
        <v>📋⚙️ - 6 - LONG TEXT</v>
      </c>
      <c r="G4" s="4" t="str">
        <f>HYPERLINK("#'Field Dictionary'!A328","📋⚙️ - 7 - LONG TEXT")</f>
        <v>📋⚙️ - 7 - LONG TEXT</v>
      </c>
    </row>
    <row r="5" spans="1:7" ht="38.1" customHeight="1" x14ac:dyDescent="0.2">
      <c r="A5" s="7" t="s">
        <v>100</v>
      </c>
      <c r="B5" s="7" t="s">
        <v>101</v>
      </c>
      <c r="C5" s="7" t="s">
        <v>102</v>
      </c>
      <c r="D5" s="7" t="s">
        <v>158</v>
      </c>
      <c r="E5" s="7" t="s">
        <v>7081</v>
      </c>
      <c r="F5" s="7" t="s">
        <v>7082</v>
      </c>
      <c r="G5" s="7" t="s">
        <v>7083</v>
      </c>
    </row>
    <row r="6" spans="1:7" ht="38.1" customHeight="1" x14ac:dyDescent="0.2">
      <c r="A6" s="7" t="s">
        <v>115</v>
      </c>
      <c r="B6" s="7" t="s">
        <v>116</v>
      </c>
      <c r="C6" s="7" t="s">
        <v>117</v>
      </c>
      <c r="D6" s="7" t="s">
        <v>167</v>
      </c>
      <c r="E6" s="7" t="s">
        <v>6331</v>
      </c>
      <c r="F6" s="7" t="s">
        <v>6334</v>
      </c>
      <c r="G6" s="7" t="s">
        <v>6336</v>
      </c>
    </row>
    <row r="7" spans="1:7" ht="57" customHeight="1" x14ac:dyDescent="0.2">
      <c r="A7" s="5" t="s">
        <v>3847</v>
      </c>
      <c r="B7" s="5" t="s">
        <v>2590</v>
      </c>
      <c r="C7" s="5" t="s">
        <v>138</v>
      </c>
      <c r="D7" s="5" t="s">
        <v>3848</v>
      </c>
      <c r="E7" s="5" t="s">
        <v>7084</v>
      </c>
      <c r="F7" s="5" t="s">
        <v>7085</v>
      </c>
      <c r="G7" s="5" t="s">
        <v>7086</v>
      </c>
    </row>
    <row r="8" spans="1:7" ht="78" customHeight="1" x14ac:dyDescent="0.2">
      <c r="A8" s="5"/>
      <c r="B8" s="5"/>
      <c r="C8" s="5"/>
      <c r="D8" s="5"/>
      <c r="E8" s="5"/>
      <c r="F8" s="5"/>
      <c r="G8" s="5"/>
    </row>
    <row r="9" spans="1:7" ht="78" customHeight="1" x14ac:dyDescent="0.2">
      <c r="A9" s="5"/>
      <c r="B9" s="5"/>
      <c r="C9" s="5"/>
      <c r="D9" s="5"/>
      <c r="E9" s="5"/>
      <c r="F9" s="5"/>
      <c r="G9" s="5"/>
    </row>
  </sheetData>
  <dataValidations count="1">
    <dataValidation type="list" sqref="D7:D1200" xr:uid="{00000000-0002-0000-1E00-000000000000}">
      <formula1>og_list_8</formula1>
    </dataValidation>
  </dataValidations>
  <pageMargins left="0.7" right="0.7" top="0.75" bottom="0.75" header="0.3" footer="0.3"/>
  <tableParts count="1">
    <tablePart r:id="rId1"/>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67E8F9"/>
  </sheetPr>
  <dimension ref="A1:K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5" width="29.0546875" customWidth="1"/>
    <col min="6" max="8" width="48.0234375" customWidth="1"/>
    <col min="9" max="9" width="18.0234375" customWidth="1"/>
    <col min="10" max="10" width="48.0234375" customWidth="1"/>
    <col min="11" max="11" width="29.0546875" customWidth="1"/>
  </cols>
  <sheetData>
    <row r="1" spans="1:11" ht="21.75" x14ac:dyDescent="0.25">
      <c r="A1" s="3" t="s">
        <v>7087</v>
      </c>
      <c r="B1" s="2"/>
      <c r="C1" s="2"/>
      <c r="D1" s="2"/>
      <c r="E1" s="2"/>
      <c r="F1" s="2"/>
      <c r="G1" s="2"/>
      <c r="H1" s="2"/>
      <c r="I1" s="2"/>
      <c r="J1" s="2"/>
      <c r="K1" s="2"/>
    </row>
    <row r="2" spans="1:11" x14ac:dyDescent="0.2">
      <c r="A2" s="2" t="str">
        <f>HYPERLINK("#'Home'!A1","Home")</f>
        <v>Home</v>
      </c>
      <c r="B2" s="2" t="str">
        <f>HYPERLINK("#'Reader'!A1","Read a record")</f>
        <v>Read a record</v>
      </c>
      <c r="C2" s="2"/>
      <c r="D2" s="2"/>
      <c r="E2" s="2"/>
      <c r="F2" s="2"/>
      <c r="G2" s="2"/>
      <c r="H2" s="2"/>
      <c r="I2" s="2"/>
      <c r="J2" s="2"/>
      <c r="K2" s="2"/>
    </row>
    <row r="3" spans="1:11" ht="45.95" customHeight="1" x14ac:dyDescent="0.2">
      <c r="A3" s="2" t="s">
        <v>2639</v>
      </c>
      <c r="B3" s="2"/>
      <c r="C3" s="2"/>
      <c r="D3" s="2"/>
      <c r="E3" s="2"/>
      <c r="F3" s="2"/>
      <c r="G3" s="2"/>
      <c r="H3" s="2"/>
      <c r="I3" s="2"/>
      <c r="J3" s="2"/>
      <c r="K3" s="2"/>
    </row>
    <row r="4" spans="1:11" ht="16.5" x14ac:dyDescent="0.2">
      <c r="A4" s="4" t="str">
        <f>HYPERLINK("#'Field Dictionary'!A329","📏⚙️ - 1 - SHORT TEXT")</f>
        <v>📏⚙️ - 1 - SHORT TEXT</v>
      </c>
      <c r="B4" s="4" t="str">
        <f>HYPERLINK("#'Field Dictionary'!A330","📏⚙️ - 2 - LONG TEXT")</f>
        <v>📏⚙️ - 2 - LONG TEXT</v>
      </c>
      <c r="C4" s="4" t="str">
        <f>HYPERLINK("#'Field Dictionary'!A331","📏⚙️ - 3 - SHORT TEXT")</f>
        <v>📏⚙️ - 3 - SHORT TEXT</v>
      </c>
      <c r="D4" s="4" t="str">
        <f>HYPERLINK("#'Field Dictionary'!A332","📏⚙️ - 4 - LINKED RECORD")</f>
        <v>📏⚙️ - 4 - LINKED RECORD</v>
      </c>
      <c r="E4" s="4" t="str">
        <f>HYPERLINK("#'Field Dictionary'!A333","📏⚙️ - 5 - SINGLE SELECT")</f>
        <v>📏⚙️ - 5 - SINGLE SELECT</v>
      </c>
      <c r="F4" s="4" t="str">
        <f>HYPERLINK("#'Field Dictionary'!A334","📏⚙️ - 6 - LONG TEXT")</f>
        <v>📏⚙️ - 6 - LONG TEXT</v>
      </c>
      <c r="G4" s="4" t="str">
        <f>HYPERLINK("#'Field Dictionary'!A335","📏⚙️ - 7 - LONG TEXT")</f>
        <v>📏⚙️ - 7 - LONG TEXT</v>
      </c>
      <c r="H4" s="4" t="str">
        <f>HYPERLINK("#'Field Dictionary'!A336","📏⚙️ - 8 - LONG TEXT")</f>
        <v>📏⚙️ - 8 - LONG TEXT</v>
      </c>
      <c r="I4" s="4" t="str">
        <f>HYPERLINK("#'Field Dictionary'!A337","📏⚙️ - 9 - INTEGER")</f>
        <v>📏⚙️ - 9 - INTEGER</v>
      </c>
      <c r="J4" s="4" t="str">
        <f>HYPERLINK("#'Field Dictionary'!A338","📏⚙️ - 10 - LONG TEXT")</f>
        <v>📏⚙️ - 10 - LONG TEXT</v>
      </c>
      <c r="K4" s="4" t="str">
        <f>HYPERLINK("#'Field Dictionary'!A339","📏⚙️ - 11 - LINKED RECORD")</f>
        <v>📏⚙️ - 11 - LINKED RECORD</v>
      </c>
    </row>
    <row r="5" spans="1:11" ht="38.1" customHeight="1" x14ac:dyDescent="0.2">
      <c r="A5" s="7" t="s">
        <v>100</v>
      </c>
      <c r="B5" s="7" t="s">
        <v>101</v>
      </c>
      <c r="C5" s="7" t="s">
        <v>102</v>
      </c>
      <c r="D5" s="7" t="s">
        <v>158</v>
      </c>
      <c r="E5" s="7" t="s">
        <v>7088</v>
      </c>
      <c r="F5" s="7" t="s">
        <v>7089</v>
      </c>
      <c r="G5" s="7" t="s">
        <v>7090</v>
      </c>
      <c r="H5" s="7" t="s">
        <v>7091</v>
      </c>
      <c r="I5" s="7" t="s">
        <v>7092</v>
      </c>
      <c r="J5" s="7" t="s">
        <v>7093</v>
      </c>
      <c r="K5" s="7" t="s">
        <v>7094</v>
      </c>
    </row>
    <row r="6" spans="1:11" ht="38.1" customHeight="1" x14ac:dyDescent="0.2">
      <c r="A6" s="7" t="s">
        <v>115</v>
      </c>
      <c r="B6" s="7" t="s">
        <v>116</v>
      </c>
      <c r="C6" s="7" t="s">
        <v>117</v>
      </c>
      <c r="D6" s="7" t="s">
        <v>167</v>
      </c>
      <c r="E6" s="7" t="s">
        <v>6343</v>
      </c>
      <c r="F6" s="7" t="s">
        <v>6347</v>
      </c>
      <c r="G6" s="7" t="s">
        <v>6350</v>
      </c>
      <c r="H6" s="7" t="s">
        <v>6353</v>
      </c>
      <c r="I6" s="7" t="s">
        <v>6356</v>
      </c>
      <c r="J6" s="7" t="s">
        <v>6359</v>
      </c>
      <c r="K6" s="7" t="s">
        <v>6361</v>
      </c>
    </row>
    <row r="7" spans="1:11" ht="50.1" customHeight="1" x14ac:dyDescent="0.2">
      <c r="A7" s="5" t="s">
        <v>3835</v>
      </c>
      <c r="B7" s="5" t="s">
        <v>2639</v>
      </c>
      <c r="C7" s="5" t="s">
        <v>3838</v>
      </c>
      <c r="D7" s="5" t="s">
        <v>3836</v>
      </c>
      <c r="E7" s="5" t="s">
        <v>1391</v>
      </c>
      <c r="F7" s="5" t="s">
        <v>7095</v>
      </c>
      <c r="G7" s="5" t="s">
        <v>7096</v>
      </c>
      <c r="H7" s="5" t="s">
        <v>7097</v>
      </c>
      <c r="I7" s="8">
        <v>100</v>
      </c>
      <c r="J7" s="5" t="s">
        <v>7098</v>
      </c>
      <c r="K7" s="5" t="s">
        <v>3070</v>
      </c>
    </row>
    <row r="8" spans="1:11" ht="50.1" customHeight="1" x14ac:dyDescent="0.2">
      <c r="A8" s="5" t="s">
        <v>3839</v>
      </c>
      <c r="B8" s="5" t="s">
        <v>2639</v>
      </c>
      <c r="C8" s="5" t="s">
        <v>3842</v>
      </c>
      <c r="D8" s="5" t="s">
        <v>3840</v>
      </c>
      <c r="E8" s="5" t="s">
        <v>2670</v>
      </c>
      <c r="F8" s="5" t="s">
        <v>7099</v>
      </c>
      <c r="G8" s="5" t="s">
        <v>7100</v>
      </c>
      <c r="H8" s="5" t="s">
        <v>7101</v>
      </c>
      <c r="I8" s="8">
        <v>90</v>
      </c>
      <c r="J8" s="5" t="s">
        <v>7102</v>
      </c>
      <c r="K8" s="5" t="s">
        <v>3065</v>
      </c>
    </row>
    <row r="9" spans="1:11" ht="50.1" customHeight="1" x14ac:dyDescent="0.2">
      <c r="A9" s="5" t="s">
        <v>3843</v>
      </c>
      <c r="B9" s="5" t="s">
        <v>2639</v>
      </c>
      <c r="C9" s="5" t="s">
        <v>3846</v>
      </c>
      <c r="D9" s="5" t="s">
        <v>3844</v>
      </c>
      <c r="E9" s="5" t="s">
        <v>7103</v>
      </c>
      <c r="F9" s="5" t="s">
        <v>7104</v>
      </c>
      <c r="G9" s="5" t="s">
        <v>7105</v>
      </c>
      <c r="H9" s="5" t="s">
        <v>7106</v>
      </c>
      <c r="I9" s="8">
        <v>80</v>
      </c>
      <c r="J9" s="5" t="s">
        <v>7107</v>
      </c>
      <c r="K9" s="5" t="s">
        <v>3075</v>
      </c>
    </row>
  </sheetData>
  <conditionalFormatting sqref="F7:F1200">
    <cfRule type="containsText" dxfId="2" priority="1" operator="containsText" text="BLOCK"/>
  </conditionalFormatting>
  <dataValidations count="4">
    <dataValidation type="list" sqref="D7:D1200" xr:uid="{00000000-0002-0000-1F00-000000000000}">
      <formula1>og_list_8</formula1>
    </dataValidation>
    <dataValidation type="list" sqref="E7:E1200" xr:uid="{00000000-0002-0000-1F00-000001000000}">
      <formula1>"RETRIEVAL,CONTENT,LAYOUT,GENERATION"</formula1>
    </dataValidation>
    <dataValidation type="whole" sqref="I7:I1200" xr:uid="{00000000-0002-0000-1F00-000002000000}">
      <formula1>0</formula1>
      <formula2>1000000</formula2>
    </dataValidation>
    <dataValidation type="list" sqref="K7:K1200" xr:uid="{00000000-0002-0000-1F00-000003000000}">
      <formula1>og_list_19</formula1>
    </dataValidation>
  </dataValidations>
  <pageMargins left="0.7" right="0.7" top="0.75" bottom="0.75" header="0.3" footer="0.3"/>
  <tableParts count="1">
    <tablePart r:id="rId1"/>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67E8F9"/>
  </sheetPr>
  <dimension ref="A1:J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4" width="29.0546875" customWidth="1"/>
    <col min="5" max="6" width="48.0234375" customWidth="1"/>
    <col min="7" max="7" width="29.0546875" customWidth="1"/>
    <col min="8" max="10" width="48.0234375" customWidth="1"/>
  </cols>
  <sheetData>
    <row r="1" spans="1:10" ht="21.75" x14ac:dyDescent="0.25">
      <c r="A1" s="3" t="s">
        <v>7108</v>
      </c>
      <c r="B1" s="2"/>
      <c r="C1" s="2"/>
      <c r="D1" s="2"/>
      <c r="E1" s="2"/>
      <c r="F1" s="2"/>
      <c r="G1" s="2"/>
      <c r="H1" s="2"/>
      <c r="I1" s="2"/>
      <c r="J1" s="2"/>
    </row>
    <row r="2" spans="1:10" x14ac:dyDescent="0.2">
      <c r="A2" s="2" t="str">
        <f>HYPERLINK("#'Home'!A1","Home")</f>
        <v>Home</v>
      </c>
      <c r="B2" s="2" t="str">
        <f>HYPERLINK("#'Reader'!A1","Read a record")</f>
        <v>Read a record</v>
      </c>
      <c r="C2" s="2"/>
      <c r="D2" s="2"/>
      <c r="E2" s="2"/>
      <c r="F2" s="2"/>
      <c r="G2" s="2"/>
      <c r="H2" s="2"/>
      <c r="I2" s="2"/>
      <c r="J2" s="2"/>
    </row>
    <row r="3" spans="1:10" ht="45.95" customHeight="1" x14ac:dyDescent="0.2">
      <c r="A3" s="2" t="s">
        <v>2716</v>
      </c>
      <c r="B3" s="2"/>
      <c r="C3" s="2"/>
      <c r="D3" s="2"/>
      <c r="E3" s="2"/>
      <c r="F3" s="2"/>
      <c r="G3" s="2"/>
      <c r="H3" s="2"/>
      <c r="I3" s="2"/>
      <c r="J3" s="2"/>
    </row>
    <row r="4" spans="1:10" ht="16.5" x14ac:dyDescent="0.2">
      <c r="A4" s="4" t="str">
        <f>HYPERLINK("#'Field Dictionary'!A340","🎨🧬 - 1 - SHORT TEXT")</f>
        <v>🎨🧬 - 1 - SHORT TEXT</v>
      </c>
      <c r="B4" s="4" t="str">
        <f>HYPERLINK("#'Field Dictionary'!A341","🎨🧬 - 2 - LONG TEXT")</f>
        <v>🎨🧬 - 2 - LONG TEXT</v>
      </c>
      <c r="C4" s="4" t="str">
        <f>HYPERLINK("#'Field Dictionary'!A342","🎨🧬 - 3 - SHORT TEXT")</f>
        <v>🎨🧬 - 3 - SHORT TEXT</v>
      </c>
      <c r="D4" s="4" t="str">
        <f>HYPERLINK("#'Field Dictionary'!A343","🎨🧬 - 4 - LINKED RECORD")</f>
        <v>🎨🧬 - 4 - LINKED RECORD</v>
      </c>
      <c r="E4" s="4" t="str">
        <f>HYPERLINK("#'Field Dictionary'!A344","🎨🧬 - 5 - LONG TEXT")</f>
        <v>🎨🧬 - 5 - LONG TEXT</v>
      </c>
      <c r="F4" s="4" t="str">
        <f>HYPERLINK("#'Field Dictionary'!A345","🎨🧬 - 6 - LONG TEXT")</f>
        <v>🎨🧬 - 6 - LONG TEXT</v>
      </c>
      <c r="G4" s="4" t="str">
        <f>HYPERLINK("#'Field Dictionary'!A346","🎨🧬 - 7 - SINGLE SELECT")</f>
        <v>🎨🧬 - 7 - SINGLE SELECT</v>
      </c>
      <c r="H4" s="4" t="str">
        <f>HYPERLINK("#'Field Dictionary'!A347","🎨🧬 - 8 - LONG TEXT")</f>
        <v>🎨🧬 - 8 - LONG TEXT</v>
      </c>
      <c r="I4" s="4" t="str">
        <f>HYPERLINK("#'Field Dictionary'!A348","🎨🧬 - 9 - LONG TEXT")</f>
        <v>🎨🧬 - 9 - LONG TEXT</v>
      </c>
      <c r="J4" s="4" t="str">
        <f>HYPERLINK("#'Field Dictionary'!A349","🎨🧬 - 10 - LONG TEXT")</f>
        <v>🎨🧬 - 10 - LONG TEXT</v>
      </c>
    </row>
    <row r="5" spans="1:10" ht="38.1" customHeight="1" x14ac:dyDescent="0.2">
      <c r="A5" s="7" t="s">
        <v>100</v>
      </c>
      <c r="B5" s="7" t="s">
        <v>101</v>
      </c>
      <c r="C5" s="7" t="s">
        <v>102</v>
      </c>
      <c r="D5" s="7" t="s">
        <v>158</v>
      </c>
      <c r="E5" s="7" t="s">
        <v>7109</v>
      </c>
      <c r="F5" s="7" t="s">
        <v>7110</v>
      </c>
      <c r="G5" s="7" t="s">
        <v>7111</v>
      </c>
      <c r="H5" s="7" t="s">
        <v>7112</v>
      </c>
      <c r="I5" s="7" t="s">
        <v>7113</v>
      </c>
      <c r="J5" s="7" t="s">
        <v>7114</v>
      </c>
    </row>
    <row r="6" spans="1:10" ht="38.1" customHeight="1" x14ac:dyDescent="0.2">
      <c r="A6" s="7" t="s">
        <v>115</v>
      </c>
      <c r="B6" s="7" t="s">
        <v>116</v>
      </c>
      <c r="C6" s="7" t="s">
        <v>117</v>
      </c>
      <c r="D6" s="7" t="s">
        <v>167</v>
      </c>
      <c r="E6" s="7" t="s">
        <v>6368</v>
      </c>
      <c r="F6" s="7" t="s">
        <v>6371</v>
      </c>
      <c r="G6" s="7" t="s">
        <v>6374</v>
      </c>
      <c r="H6" s="7" t="s">
        <v>6378</v>
      </c>
      <c r="I6" s="7" t="s">
        <v>6381</v>
      </c>
      <c r="J6" s="7" t="s">
        <v>6383</v>
      </c>
    </row>
    <row r="7" spans="1:10" ht="57" customHeight="1" x14ac:dyDescent="0.2">
      <c r="A7" s="5" t="s">
        <v>3850</v>
      </c>
      <c r="B7" s="5" t="s">
        <v>2716</v>
      </c>
      <c r="C7" s="5" t="s">
        <v>139</v>
      </c>
      <c r="D7" s="5" t="s">
        <v>3851</v>
      </c>
      <c r="E7" s="5" t="s">
        <v>7115</v>
      </c>
      <c r="F7" s="5" t="s">
        <v>7116</v>
      </c>
      <c r="G7" s="5" t="s">
        <v>7117</v>
      </c>
      <c r="H7" s="5" t="s">
        <v>7118</v>
      </c>
      <c r="I7" s="5" t="s">
        <v>7119</v>
      </c>
      <c r="J7" s="5" t="s">
        <v>7120</v>
      </c>
    </row>
    <row r="8" spans="1:10" ht="78" customHeight="1" x14ac:dyDescent="0.2">
      <c r="A8" s="5"/>
      <c r="B8" s="5"/>
      <c r="C8" s="5"/>
      <c r="D8" s="5"/>
      <c r="E8" s="5"/>
      <c r="F8" s="5"/>
      <c r="G8" s="5"/>
      <c r="H8" s="5"/>
      <c r="I8" s="5"/>
      <c r="J8" s="5"/>
    </row>
    <row r="9" spans="1:10" ht="78" customHeight="1" x14ac:dyDescent="0.2">
      <c r="A9" s="5"/>
      <c r="B9" s="5"/>
      <c r="C9" s="5"/>
      <c r="D9" s="5"/>
      <c r="E9" s="5"/>
      <c r="F9" s="5"/>
      <c r="G9" s="5"/>
      <c r="H9" s="5"/>
      <c r="I9" s="5"/>
      <c r="J9" s="5"/>
    </row>
  </sheetData>
  <dataValidations count="2">
    <dataValidation type="list" sqref="D7:D1200" xr:uid="{00000000-0002-0000-2000-000000000000}">
      <formula1>og_list_8</formula1>
    </dataValidation>
    <dataValidation type="list" sqref="G7:G1200" xr:uid="{00000000-0002-0000-2000-000001000000}">
      <formula1>"YES,NO"</formula1>
    </dataValidation>
  </dataValidations>
  <pageMargins left="0.7" right="0.7" top="0.75" bottom="0.75" header="0.3" footer="0.3"/>
  <tableParts count="1">
    <tablePart r:id="rId1"/>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67E8F9"/>
  </sheetPr>
  <dimension ref="A1:O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7" width="29.0546875" customWidth="1"/>
    <col min="8" max="8" width="18.0234375" customWidth="1"/>
    <col min="9" max="11" width="48.0234375" customWidth="1"/>
    <col min="12" max="12" width="29.0546875" customWidth="1"/>
    <col min="13" max="13" width="48.0234375" customWidth="1"/>
    <col min="14" max="15" width="29.0546875" customWidth="1"/>
  </cols>
  <sheetData>
    <row r="1" spans="1:15" ht="40.5" x14ac:dyDescent="0.25">
      <c r="A1" s="3" t="s">
        <v>7121</v>
      </c>
      <c r="B1" s="2"/>
      <c r="C1" s="2"/>
      <c r="D1" s="2"/>
      <c r="E1" s="2"/>
      <c r="F1" s="2"/>
      <c r="G1" s="2"/>
      <c r="H1" s="2"/>
      <c r="I1" s="2"/>
      <c r="J1" s="2"/>
      <c r="K1" s="2"/>
      <c r="L1" s="2"/>
      <c r="M1" s="2"/>
      <c r="N1" s="2"/>
      <c r="O1" s="2"/>
    </row>
    <row r="2" spans="1:15" x14ac:dyDescent="0.2">
      <c r="A2" s="2" t="str">
        <f>HYPERLINK("#'Home'!A1","Home")</f>
        <v>Home</v>
      </c>
      <c r="B2" s="2" t="str">
        <f>HYPERLINK("#'Reader'!A1","Read a record")</f>
        <v>Read a record</v>
      </c>
      <c r="C2" s="2"/>
      <c r="D2" s="2"/>
      <c r="E2" s="2"/>
      <c r="F2" s="2"/>
      <c r="G2" s="2"/>
      <c r="H2" s="2"/>
      <c r="I2" s="2"/>
      <c r="J2" s="2"/>
      <c r="K2" s="2"/>
      <c r="L2" s="2"/>
      <c r="M2" s="2"/>
      <c r="N2" s="2"/>
      <c r="O2" s="2"/>
    </row>
    <row r="3" spans="1:15" ht="45.95" customHeight="1" x14ac:dyDescent="0.2">
      <c r="A3" s="2" t="s">
        <v>2788</v>
      </c>
      <c r="B3" s="2"/>
      <c r="C3" s="2"/>
      <c r="D3" s="2"/>
      <c r="E3" s="2"/>
      <c r="F3" s="2"/>
      <c r="G3" s="2"/>
      <c r="H3" s="2"/>
      <c r="I3" s="2"/>
      <c r="J3" s="2"/>
      <c r="K3" s="2"/>
      <c r="L3" s="2"/>
      <c r="M3" s="2"/>
      <c r="N3" s="2"/>
      <c r="O3" s="2"/>
    </row>
    <row r="4" spans="1:15" ht="16.5" x14ac:dyDescent="0.2">
      <c r="A4" s="4" t="str">
        <f>HYPERLINK("#'Field Dictionary'!A350","🧩📐 - 1 - SHORT TEXT")</f>
        <v>🧩📐 - 1 - SHORT TEXT</v>
      </c>
      <c r="B4" s="4" t="str">
        <f>HYPERLINK("#'Field Dictionary'!A351","🧩📐 - 2 - LONG TEXT")</f>
        <v>🧩📐 - 2 - LONG TEXT</v>
      </c>
      <c r="C4" s="4" t="str">
        <f>HYPERLINK("#'Field Dictionary'!A352","🧩📐 - 3 - SHORT TEXT")</f>
        <v>🧩📐 - 3 - SHORT TEXT</v>
      </c>
      <c r="D4" s="4" t="str">
        <f>HYPERLINK("#'Field Dictionary'!A353","🧩📐 - 4 - LINKED RECORD")</f>
        <v>🧩📐 - 4 - LINKED RECORD</v>
      </c>
      <c r="E4" s="4" t="str">
        <f>HYPERLINK("#'Field Dictionary'!A354","🧩📐 - 5 - LINKED RECORD")</f>
        <v>🧩📐 - 5 - LINKED RECORD</v>
      </c>
      <c r="F4" s="4" t="str">
        <f>HYPERLINK("#'Field Dictionary'!A355","🧩📐 - 6 - LINKED RECORD")</f>
        <v>🧩📐 - 6 - LINKED RECORD</v>
      </c>
      <c r="G4" s="4" t="str">
        <f>HYPERLINK("#'Field Dictionary'!A356","🧩📐 - 7 - SHORT TEXT")</f>
        <v>🧩📐 - 7 - SHORT TEXT</v>
      </c>
      <c r="H4" s="4" t="str">
        <f>HYPERLINK("#'Field Dictionary'!A357","🧩📐 - 8 - INTEGER")</f>
        <v>🧩📐 - 8 - INTEGER</v>
      </c>
      <c r="I4" s="4" t="str">
        <f>HYPERLINK("#'Field Dictionary'!A358","🧩📐 - 9 - LONG TEXT")</f>
        <v>🧩📐 - 9 - LONG TEXT</v>
      </c>
      <c r="J4" s="4" t="str">
        <f>HYPERLINK("#'Field Dictionary'!A359","🧩📐 - 10 - LONG TEXT")</f>
        <v>🧩📐 - 10 - LONG TEXT</v>
      </c>
      <c r="K4" s="4" t="str">
        <f>HYPERLINK("#'Field Dictionary'!A360","🧩📐 - 11 - LONG TEXT")</f>
        <v>🧩📐 - 11 - LONG TEXT</v>
      </c>
      <c r="L4" s="4" t="str">
        <f>HYPERLINK("#'Field Dictionary'!A361","🧩📐 - 12 - SINGLE SELECT")</f>
        <v>🧩📐 - 12 - SINGLE SELECT</v>
      </c>
      <c r="M4" s="4" t="str">
        <f>HYPERLINK("#'Field Dictionary'!A362","🧩📐 - 13 - LONG TEXT")</f>
        <v>🧩📐 - 13 - LONG TEXT</v>
      </c>
      <c r="N4" s="4" t="str">
        <f>HYPERLINK("#'Field Dictionary'!A363","🧩📐 - 14 - SINGLE SELECT")</f>
        <v>🧩📐 - 14 - SINGLE SELECT</v>
      </c>
      <c r="O4" s="4" t="str">
        <f>HYPERLINK("#'Field Dictionary'!A364","🧩📐 - 15 - DERIVED")</f>
        <v>🧩📐 - 15 - DERIVED</v>
      </c>
    </row>
    <row r="5" spans="1:15" ht="38.1" customHeight="1" x14ac:dyDescent="0.2">
      <c r="A5" s="7" t="s">
        <v>100</v>
      </c>
      <c r="B5" s="7" t="s">
        <v>101</v>
      </c>
      <c r="C5" s="7" t="s">
        <v>102</v>
      </c>
      <c r="D5" s="7" t="s">
        <v>158</v>
      </c>
      <c r="E5" s="7" t="s">
        <v>7122</v>
      </c>
      <c r="F5" s="7" t="s">
        <v>7123</v>
      </c>
      <c r="G5" s="7" t="s">
        <v>7124</v>
      </c>
      <c r="H5" s="7" t="s">
        <v>7125</v>
      </c>
      <c r="I5" s="7" t="s">
        <v>7126</v>
      </c>
      <c r="J5" s="7" t="s">
        <v>7127</v>
      </c>
      <c r="K5" s="7" t="s">
        <v>7128</v>
      </c>
      <c r="L5" s="7" t="s">
        <v>7129</v>
      </c>
      <c r="M5" s="7" t="s">
        <v>7130</v>
      </c>
      <c r="N5" s="7" t="s">
        <v>7131</v>
      </c>
      <c r="O5" s="7" t="s">
        <v>7132</v>
      </c>
    </row>
    <row r="6" spans="1:15" ht="38.1" customHeight="1" x14ac:dyDescent="0.2">
      <c r="A6" s="7" t="s">
        <v>115</v>
      </c>
      <c r="B6" s="7" t="s">
        <v>116</v>
      </c>
      <c r="C6" s="7" t="s">
        <v>117</v>
      </c>
      <c r="D6" s="7" t="s">
        <v>167</v>
      </c>
      <c r="E6" s="7" t="s">
        <v>6390</v>
      </c>
      <c r="F6" s="7" t="s">
        <v>6393</v>
      </c>
      <c r="G6" s="7" t="s">
        <v>6395</v>
      </c>
      <c r="H6" s="7" t="s">
        <v>6398</v>
      </c>
      <c r="I6" s="7" t="s">
        <v>6401</v>
      </c>
      <c r="J6" s="7" t="s">
        <v>6404</v>
      </c>
      <c r="K6" s="7" t="s">
        <v>6407</v>
      </c>
      <c r="L6" s="7" t="s">
        <v>6410</v>
      </c>
      <c r="M6" s="7" t="s">
        <v>6414</v>
      </c>
      <c r="N6" s="7" t="s">
        <v>6417</v>
      </c>
      <c r="O6" s="7" t="s">
        <v>6421</v>
      </c>
    </row>
    <row r="7" spans="1:15" ht="72" customHeight="1" x14ac:dyDescent="0.2">
      <c r="A7" s="5" t="s">
        <v>3872</v>
      </c>
      <c r="B7" s="5" t="s">
        <v>2788</v>
      </c>
      <c r="C7" s="5" t="s">
        <v>3875</v>
      </c>
      <c r="D7" s="5" t="s">
        <v>3873</v>
      </c>
      <c r="E7" s="5" t="s">
        <v>145</v>
      </c>
      <c r="F7" s="5" t="s">
        <v>3592</v>
      </c>
      <c r="G7" s="5" t="s">
        <v>7133</v>
      </c>
      <c r="H7" s="8">
        <v>1</v>
      </c>
      <c r="I7" s="5" t="s">
        <v>7134</v>
      </c>
      <c r="J7" s="5" t="s">
        <v>7135</v>
      </c>
      <c r="K7" s="5" t="s">
        <v>7136</v>
      </c>
      <c r="L7" s="5" t="s">
        <v>2868</v>
      </c>
      <c r="M7" s="5" t="s">
        <v>7137</v>
      </c>
      <c r="N7" s="5" t="s">
        <v>7138</v>
      </c>
      <c r="O7" s="5" t="str">
        <f>IF(C7="","",IF(AND(E7&lt;&gt;F7,COUNTIF('File Revisions'!$C$7:$C$1200,E7)=1,COUNTIF('File Revisions'!$C$7:$C$1200,F7)=1,N7="AVAILABLE",IFERROR(INDEX('File Revisions'!$M$7:$M$1200,MATCH(F7,'File Revisions'!$C$7:$C$1200,0)),"")="AVAILABLE"),"READY","BLOCKED"))</f>
        <v>BLOCKED</v>
      </c>
    </row>
    <row r="8" spans="1:15" ht="78" customHeight="1" x14ac:dyDescent="0.2">
      <c r="A8" s="5"/>
      <c r="B8" s="5"/>
      <c r="C8" s="5"/>
      <c r="D8" s="5"/>
      <c r="E8" s="5"/>
      <c r="F8" s="5"/>
      <c r="G8" s="5"/>
      <c r="H8" s="8"/>
      <c r="I8" s="5"/>
      <c r="J8" s="5"/>
      <c r="K8" s="5"/>
      <c r="L8" s="5"/>
      <c r="M8" s="5"/>
      <c r="N8" s="5"/>
      <c r="O8" s="5" t="str">
        <f>IF(C8="","",IF(AND(E8&lt;&gt;F8,COUNTIF('File Revisions'!$C$7:$C$1200,E8)=1,COUNTIF('File Revisions'!$C$7:$C$1200,F8)=1,N8="AVAILABLE",IFERROR(INDEX('File Revisions'!$M$7:$M$1200,MATCH(F8,'File Revisions'!$C$7:$C$1200,0)),"")="AVAILABLE"),"READY","BLOCKED"))</f>
        <v/>
      </c>
    </row>
    <row r="9" spans="1:15" ht="78" customHeight="1" x14ac:dyDescent="0.2">
      <c r="A9" s="5"/>
      <c r="B9" s="5"/>
      <c r="C9" s="5"/>
      <c r="D9" s="5"/>
      <c r="E9" s="5"/>
      <c r="F9" s="5"/>
      <c r="G9" s="5"/>
      <c r="H9" s="8"/>
      <c r="I9" s="5"/>
      <c r="J9" s="5"/>
      <c r="K9" s="5"/>
      <c r="L9" s="5"/>
      <c r="M9" s="5"/>
      <c r="N9" s="5"/>
      <c r="O9" s="5" t="str">
        <f>IF(C9="","",IF(AND(E9&lt;&gt;F9,COUNTIF('File Revisions'!$C$7:$C$1200,E9)=1,COUNTIF('File Revisions'!$C$7:$C$1200,F9)=1,N9="AVAILABLE",IFERROR(INDEX('File Revisions'!$M$7:$M$1200,MATCH(F9,'File Revisions'!$C$7:$C$1200,0)),"")="AVAILABLE"),"READY","BLOCKED"))</f>
        <v/>
      </c>
    </row>
  </sheetData>
  <conditionalFormatting sqref="N7:N1200">
    <cfRule type="containsText" dxfId="1" priority="1" operator="containsText" text="BLOCK"/>
  </conditionalFormatting>
  <dataValidations count="5">
    <dataValidation type="list" sqref="D7:D1200" xr:uid="{00000000-0002-0000-2100-000000000000}">
      <formula1>og_list_8</formula1>
    </dataValidation>
    <dataValidation type="list" sqref="E7:F1200" xr:uid="{00000000-0002-0000-2100-000001000000}">
      <formula1>og_list_4</formula1>
    </dataValidation>
    <dataValidation type="whole" sqref="H7:H1200" xr:uid="{00000000-0002-0000-2100-000003000000}">
      <formula1>0</formula1>
      <formula2>1000000</formula2>
    </dataValidation>
    <dataValidation type="list" sqref="L7:L1200" xr:uid="{00000000-0002-0000-2100-000004000000}">
      <formula1>"PLACEMENT,NEW DERIVATIVE"</formula1>
    </dataValidation>
    <dataValidation type="list" sqref="N7:N1200" xr:uid="{00000000-0002-0000-2100-000005000000}">
      <formula1>"PLANNED,AVAILABLE,BLOCKED"</formula1>
    </dataValidation>
  </dataValidations>
  <pageMargins left="0.7" right="0.7" top="0.75" bottom="0.75" header="0.3" footer="0.3"/>
  <tableParts count="1">
    <tablePart r:id="rId1"/>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67E8F9"/>
  </sheetPr>
  <dimension ref="A1:N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8" width="29.0546875" customWidth="1"/>
    <col min="9" max="10" width="48.0234375" customWidth="1"/>
    <col min="11" max="11" width="34.03125" customWidth="1"/>
    <col min="12" max="12" width="29.0546875" customWidth="1"/>
    <col min="13" max="13" width="34.03125" customWidth="1"/>
    <col min="14" max="14" width="48.0234375" customWidth="1"/>
  </cols>
  <sheetData>
    <row r="1" spans="1:14" ht="40.5" x14ac:dyDescent="0.25">
      <c r="A1" s="3" t="s">
        <v>7139</v>
      </c>
      <c r="B1" s="2"/>
      <c r="C1" s="2"/>
      <c r="D1" s="2"/>
      <c r="E1" s="2"/>
      <c r="F1" s="2"/>
      <c r="G1" s="2"/>
      <c r="H1" s="2"/>
      <c r="I1" s="2"/>
      <c r="J1" s="2"/>
      <c r="K1" s="2"/>
      <c r="L1" s="2"/>
      <c r="M1" s="2"/>
      <c r="N1" s="2"/>
    </row>
    <row r="2" spans="1:14" x14ac:dyDescent="0.2">
      <c r="A2" s="2" t="str">
        <f>HYPERLINK("#'Home'!A1","Home")</f>
        <v>Home</v>
      </c>
      <c r="B2" s="2" t="str">
        <f>HYPERLINK("#'Reader'!A1","Read a record")</f>
        <v>Read a record</v>
      </c>
      <c r="C2" s="2"/>
      <c r="D2" s="2"/>
      <c r="E2" s="2"/>
      <c r="F2" s="2"/>
      <c r="G2" s="2"/>
      <c r="H2" s="2"/>
      <c r="I2" s="2"/>
      <c r="J2" s="2"/>
      <c r="K2" s="2"/>
      <c r="L2" s="2"/>
      <c r="M2" s="2"/>
      <c r="N2" s="2"/>
    </row>
    <row r="3" spans="1:14" ht="45.95" customHeight="1" x14ac:dyDescent="0.2">
      <c r="A3" s="2" t="s">
        <v>2894</v>
      </c>
      <c r="B3" s="2"/>
      <c r="C3" s="2"/>
      <c r="D3" s="2"/>
      <c r="E3" s="2"/>
      <c r="F3" s="2"/>
      <c r="G3" s="2"/>
      <c r="H3" s="2"/>
      <c r="I3" s="2"/>
      <c r="J3" s="2"/>
      <c r="K3" s="2"/>
      <c r="L3" s="2"/>
      <c r="M3" s="2"/>
      <c r="N3" s="2"/>
    </row>
    <row r="4" spans="1:14" ht="16.5" x14ac:dyDescent="0.2">
      <c r="A4" s="4" t="str">
        <f>HYPERLINK("#'Field Dictionary'!A365","✨📋 - 1 - SHORT TEXT")</f>
        <v>✨📋 - 1 - SHORT TEXT</v>
      </c>
      <c r="B4" s="4" t="str">
        <f>HYPERLINK("#'Field Dictionary'!A366","✨📋 - 2 - LONG TEXT")</f>
        <v>✨📋 - 2 - LONG TEXT</v>
      </c>
      <c r="C4" s="4" t="str">
        <f>HYPERLINK("#'Field Dictionary'!A367","✨📋 - 3 - SHORT TEXT")</f>
        <v>✨📋 - 3 - SHORT TEXT</v>
      </c>
      <c r="D4" s="4" t="str">
        <f>HYPERLINK("#'Field Dictionary'!A368","✨📋 - 4 - LINKED RECORD")</f>
        <v>✨📋 - 4 - LINKED RECORD</v>
      </c>
      <c r="E4" s="4" t="str">
        <f>HYPERLINK("#'Field Dictionary'!A369","✨📋 - 5 - LINKED RECORD")</f>
        <v>✨📋 - 5 - LINKED RECORD</v>
      </c>
      <c r="F4" s="4" t="str">
        <f>HYPERLINK("#'Field Dictionary'!A370","✨📋 - 6 - LINKED RECORD")</f>
        <v>✨📋 - 6 - LINKED RECORD</v>
      </c>
      <c r="G4" s="4" t="str">
        <f>HYPERLINK("#'Field Dictionary'!A371","✨📋 - 7 - LINKED RECORD")</f>
        <v>✨📋 - 7 - LINKED RECORD</v>
      </c>
      <c r="H4" s="4" t="str">
        <f>HYPERLINK("#'Field Dictionary'!A372","✨📋 - 8 - LINKED RECORD")</f>
        <v>✨📋 - 8 - LINKED RECORD</v>
      </c>
      <c r="I4" s="4" t="str">
        <f>HYPERLINK("#'Field Dictionary'!A373","✨📋 - 9 - LONG TEXT")</f>
        <v>✨📋 - 9 - LONG TEXT</v>
      </c>
      <c r="J4" s="4" t="str">
        <f>HYPERLINK("#'Field Dictionary'!A374","✨📋 - 10 - LONG TEXT")</f>
        <v>✨📋 - 10 - LONG TEXT</v>
      </c>
      <c r="K4" s="4" t="str">
        <f>HYPERLINK("#'Field Dictionary'!A375","✨📋 - 11 - LINKED RECORDS")</f>
        <v>✨📋 - 11 - LINKED RECORDS</v>
      </c>
      <c r="L4" s="4" t="str">
        <f>HYPERLINK("#'Field Dictionary'!A376","✨📋 - 12 - SINGLE SELECT")</f>
        <v>✨📋 - 12 - SINGLE SELECT</v>
      </c>
      <c r="M4" s="4" t="str">
        <f>HYPERLINK("#'Field Dictionary'!A377","✨📋 - 13 - LINKED RECORDS")</f>
        <v>✨📋 - 13 - LINKED RECORDS</v>
      </c>
      <c r="N4" s="4" t="str">
        <f>HYPERLINK("#'Field Dictionary'!A378","✨📋 - 14 - LONG TEXT")</f>
        <v>✨📋 - 14 - LONG TEXT</v>
      </c>
    </row>
    <row r="5" spans="1:14" ht="38.1" customHeight="1" x14ac:dyDescent="0.2">
      <c r="A5" s="7" t="s">
        <v>100</v>
      </c>
      <c r="B5" s="7" t="s">
        <v>101</v>
      </c>
      <c r="C5" s="7" t="s">
        <v>102</v>
      </c>
      <c r="D5" s="7" t="s">
        <v>158</v>
      </c>
      <c r="E5" s="7" t="s">
        <v>7044</v>
      </c>
      <c r="F5" s="7" t="s">
        <v>7140</v>
      </c>
      <c r="G5" s="7" t="s">
        <v>7046</v>
      </c>
      <c r="H5" s="7" t="s">
        <v>7047</v>
      </c>
      <c r="I5" s="7" t="s">
        <v>7141</v>
      </c>
      <c r="J5" s="7" t="s">
        <v>7142</v>
      </c>
      <c r="K5" s="7" t="s">
        <v>7143</v>
      </c>
      <c r="L5" s="7" t="s">
        <v>7144</v>
      </c>
      <c r="M5" s="7" t="s">
        <v>7145</v>
      </c>
      <c r="N5" s="7" t="s">
        <v>7146</v>
      </c>
    </row>
    <row r="6" spans="1:14" ht="38.1" customHeight="1" x14ac:dyDescent="0.2">
      <c r="A6" s="7" t="s">
        <v>115</v>
      </c>
      <c r="B6" s="7" t="s">
        <v>116</v>
      </c>
      <c r="C6" s="7" t="s">
        <v>117</v>
      </c>
      <c r="D6" s="7" t="s">
        <v>167</v>
      </c>
      <c r="E6" s="7" t="s">
        <v>6260</v>
      </c>
      <c r="F6" s="7" t="s">
        <v>6428</v>
      </c>
      <c r="G6" s="7" t="s">
        <v>6264</v>
      </c>
      <c r="H6" s="7" t="s">
        <v>6266</v>
      </c>
      <c r="I6" s="7" t="s">
        <v>6433</v>
      </c>
      <c r="J6" s="7" t="s">
        <v>6436</v>
      </c>
      <c r="K6" s="7" t="s">
        <v>6439</v>
      </c>
      <c r="L6" s="7" t="s">
        <v>6442</v>
      </c>
      <c r="M6" s="7" t="s">
        <v>6446</v>
      </c>
      <c r="N6" s="7" t="s">
        <v>6449</v>
      </c>
    </row>
    <row r="7" spans="1:14" ht="147" customHeight="1" x14ac:dyDescent="0.2">
      <c r="A7" s="5" t="s">
        <v>3876</v>
      </c>
      <c r="B7" s="5" t="s">
        <v>2894</v>
      </c>
      <c r="C7" s="5" t="s">
        <v>3879</v>
      </c>
      <c r="D7" s="5" t="s">
        <v>3877</v>
      </c>
      <c r="E7" s="5" t="s">
        <v>142</v>
      </c>
      <c r="F7" s="5" t="s">
        <v>3588</v>
      </c>
      <c r="G7" s="5" t="s">
        <v>138</v>
      </c>
      <c r="H7" s="5" t="s">
        <v>139</v>
      </c>
      <c r="I7" s="5" t="s">
        <v>7147</v>
      </c>
      <c r="J7" s="5" t="s">
        <v>7148</v>
      </c>
      <c r="K7" s="5" t="s">
        <v>7149</v>
      </c>
      <c r="L7" s="5" t="s">
        <v>2884</v>
      </c>
      <c r="M7" s="5" t="s">
        <v>5547</v>
      </c>
      <c r="N7" s="5" t="s">
        <v>7150</v>
      </c>
    </row>
    <row r="8" spans="1:14" ht="78" customHeight="1" x14ac:dyDescent="0.2">
      <c r="A8" s="5"/>
      <c r="B8" s="5"/>
      <c r="C8" s="5"/>
      <c r="D8" s="5"/>
      <c r="E8" s="5"/>
      <c r="F8" s="5"/>
      <c r="G8" s="5"/>
      <c r="H8" s="5"/>
      <c r="I8" s="5"/>
      <c r="J8" s="5"/>
      <c r="K8" s="5"/>
      <c r="L8" s="5"/>
      <c r="M8" s="5"/>
      <c r="N8" s="5"/>
    </row>
    <row r="9" spans="1:14" ht="78" customHeight="1" x14ac:dyDescent="0.2">
      <c r="A9" s="5"/>
      <c r="B9" s="5"/>
      <c r="C9" s="5"/>
      <c r="D9" s="5"/>
      <c r="E9" s="5"/>
      <c r="F9" s="5"/>
      <c r="G9" s="5"/>
      <c r="H9" s="5"/>
      <c r="I9" s="5"/>
      <c r="J9" s="5"/>
      <c r="K9" s="5"/>
      <c r="L9" s="5"/>
      <c r="M9" s="5"/>
      <c r="N9" s="5"/>
    </row>
  </sheetData>
  <conditionalFormatting sqref="L7:M1200">
    <cfRule type="containsText" dxfId="0" priority="1" operator="containsText" text="BLOCK"/>
  </conditionalFormatting>
  <dataValidations count="6">
    <dataValidation type="list" sqref="D7:D1200" xr:uid="{00000000-0002-0000-2200-000000000000}">
      <formula1>og_list_8</formula1>
    </dataValidation>
    <dataValidation type="list" sqref="E7:E1200" xr:uid="{00000000-0002-0000-2200-000001000000}">
      <formula1>og_list_9</formula1>
    </dataValidation>
    <dataValidation type="list" sqref="F7:F1200" xr:uid="{00000000-0002-0000-2200-000002000000}">
      <formula1>og_list_22</formula1>
    </dataValidation>
    <dataValidation type="list" sqref="G7:G1200" xr:uid="{00000000-0002-0000-2200-000003000000}">
      <formula1>og_list_6</formula1>
    </dataValidation>
    <dataValidation type="list" sqref="H7:H1200" xr:uid="{00000000-0002-0000-2200-000004000000}">
      <formula1>og_list_7</formula1>
    </dataValidation>
    <dataValidation type="list" sqref="L7:L1200" xr:uid="{00000000-0002-0000-2200-000005000000}">
      <formula1>"PLANNED,READY,COMPLETE,BLOCKED"</formula1>
    </dataValidation>
  </dataValidations>
  <pageMargins left="0.7" right="0.7" top="0.75" bottom="0.75" header="0.3" footer="0.3"/>
  <tableParts count="1">
    <tablePart r:id="rId1"/>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67E8F9"/>
  </sheetPr>
  <dimension ref="A1:J9"/>
  <sheetViews>
    <sheetView showGridLines="0" workbookViewId="0">
      <pane xSplit="1" ySplit="6" topLeftCell="B7" activePane="bottomRight" state="frozen"/>
      <selection pane="bottomLeft" activeCell="A7" sqref="A7"/>
      <selection pane="topRight" activeCell="B1" sqref="B1"/>
      <selection pane="bottomRight"/>
    </sheetView>
  </sheetViews>
  <sheetFormatPr defaultRowHeight="15" x14ac:dyDescent="0.2"/>
  <cols>
    <col min="1" max="1" width="32.015625" customWidth="1"/>
    <col min="2" max="2" width="48.0234375" customWidth="1"/>
    <col min="3" max="6" width="29.0546875" customWidth="1"/>
    <col min="7" max="7" width="48.0234375" customWidth="1"/>
    <col min="8" max="10" width="29.0546875" customWidth="1"/>
  </cols>
  <sheetData>
    <row r="1" spans="1:10" ht="21.75" x14ac:dyDescent="0.25">
      <c r="A1" s="3" t="s">
        <v>7151</v>
      </c>
      <c r="B1" s="2"/>
      <c r="C1" s="2"/>
      <c r="D1" s="2"/>
      <c r="E1" s="2"/>
      <c r="F1" s="2"/>
      <c r="G1" s="2"/>
      <c r="H1" s="2"/>
      <c r="I1" s="2"/>
      <c r="J1" s="2"/>
    </row>
    <row r="2" spans="1:10" x14ac:dyDescent="0.2">
      <c r="A2" s="2" t="str">
        <f>HYPERLINK("#'Home'!A1","Home")</f>
        <v>Home</v>
      </c>
      <c r="B2" s="2" t="str">
        <f>HYPERLINK("#'Reader'!A1","Read a record")</f>
        <v>Read a record</v>
      </c>
      <c r="C2" s="2"/>
      <c r="D2" s="2"/>
      <c r="E2" s="2"/>
      <c r="F2" s="2"/>
      <c r="G2" s="2"/>
      <c r="H2" s="2"/>
      <c r="I2" s="2"/>
      <c r="J2" s="2"/>
    </row>
    <row r="3" spans="1:10" ht="45.95" customHeight="1" x14ac:dyDescent="0.2">
      <c r="A3" s="2" t="s">
        <v>2983</v>
      </c>
      <c r="B3" s="2"/>
      <c r="C3" s="2"/>
      <c r="D3" s="2"/>
      <c r="E3" s="2"/>
      <c r="F3" s="2"/>
      <c r="G3" s="2"/>
      <c r="H3" s="2"/>
      <c r="I3" s="2"/>
      <c r="J3" s="2"/>
    </row>
    <row r="4" spans="1:10" ht="16.5" x14ac:dyDescent="0.2">
      <c r="A4" s="4" t="str">
        <f>HYPERLINK("#'Field Dictionary'!A379","📦♻️ - 1 - SHORT TEXT")</f>
        <v>📦♻️ - 1 - SHORT TEXT</v>
      </c>
      <c r="B4" s="4" t="str">
        <f>HYPERLINK("#'Field Dictionary'!A380","📦♻️ - 2 - LONG TEXT")</f>
        <v>📦♻️ - 2 - LONG TEXT</v>
      </c>
      <c r="C4" s="4" t="str">
        <f>HYPERLINK("#'Field Dictionary'!A381","📦♻️ - 3 - SHORT TEXT")</f>
        <v>📦♻️ - 3 - SHORT TEXT</v>
      </c>
      <c r="D4" s="4" t="str">
        <f>HYPERLINK("#'Field Dictionary'!A382","📦♻️ - 4 - LINKED RECORD")</f>
        <v>📦♻️ - 4 - LINKED RECORD</v>
      </c>
      <c r="E4" s="4" t="str">
        <f>HYPERLINK("#'Field Dictionary'!A383","📦♻️ - 5 - LINKED RECORD")</f>
        <v>📦♻️ - 5 - LINKED RECORD</v>
      </c>
      <c r="F4" s="4" t="str">
        <f>HYPERLINK("#'Field Dictionary'!A384","📦♻️ - 6 - SINGLE SELECT")</f>
        <v>📦♻️ - 6 - SINGLE SELECT</v>
      </c>
      <c r="G4" s="4" t="str">
        <f>HYPERLINK("#'Field Dictionary'!A385","📦♻️ - 7 - LONG TEXT")</f>
        <v>📦♻️ - 7 - LONG TEXT</v>
      </c>
      <c r="H4" s="4" t="str">
        <f>HYPERLINK("#'Field Dictionary'!A386","📦♻️ - 8 - SHORT TEXT")</f>
        <v>📦♻️ - 8 - SHORT TEXT</v>
      </c>
      <c r="I4" s="4" t="str">
        <f>HYPERLINK("#'Field Dictionary'!A387","📦♻️ - 9 - SHORT TEXT")</f>
        <v>📦♻️ - 9 - SHORT TEXT</v>
      </c>
      <c r="J4" s="4" t="str">
        <f>HYPERLINK("#'Field Dictionary'!A388","📦♻️ - 10 - LINKED RECORD")</f>
        <v>📦♻️ - 10 - LINKED RECORD</v>
      </c>
    </row>
    <row r="5" spans="1:10" ht="38.1" customHeight="1" x14ac:dyDescent="0.2">
      <c r="A5" s="7" t="s">
        <v>100</v>
      </c>
      <c r="B5" s="7" t="s">
        <v>101</v>
      </c>
      <c r="C5" s="7" t="s">
        <v>102</v>
      </c>
      <c r="D5" s="7" t="s">
        <v>227</v>
      </c>
      <c r="E5" s="7" t="s">
        <v>6641</v>
      </c>
      <c r="F5" s="7" t="s">
        <v>7152</v>
      </c>
      <c r="G5" s="7" t="s">
        <v>7153</v>
      </c>
      <c r="H5" s="7" t="s">
        <v>7154</v>
      </c>
      <c r="I5" s="7" t="s">
        <v>7155</v>
      </c>
      <c r="J5" s="7" t="s">
        <v>7156</v>
      </c>
    </row>
    <row r="6" spans="1:10" ht="38.1" customHeight="1" x14ac:dyDescent="0.2">
      <c r="A6" s="7" t="s">
        <v>115</v>
      </c>
      <c r="B6" s="7" t="s">
        <v>116</v>
      </c>
      <c r="C6" s="7" t="s">
        <v>117</v>
      </c>
      <c r="D6" s="7" t="s">
        <v>236</v>
      </c>
      <c r="E6" s="7" t="s">
        <v>6216</v>
      </c>
      <c r="F6" s="7" t="s">
        <v>6457</v>
      </c>
      <c r="G6" s="7" t="s">
        <v>6461</v>
      </c>
      <c r="H6" s="7" t="s">
        <v>6464</v>
      </c>
      <c r="I6" s="7" t="s">
        <v>6467</v>
      </c>
      <c r="J6" s="7" t="s">
        <v>6470</v>
      </c>
    </row>
    <row r="7" spans="1:10" ht="57" customHeight="1" x14ac:dyDescent="0.2">
      <c r="A7" s="5" t="s">
        <v>7157</v>
      </c>
      <c r="B7" s="5" t="s">
        <v>2983</v>
      </c>
      <c r="C7" s="5" t="s">
        <v>7158</v>
      </c>
      <c r="D7" s="5" t="s">
        <v>142</v>
      </c>
      <c r="E7" s="5" t="s">
        <v>3583</v>
      </c>
      <c r="F7" s="5" t="s">
        <v>7159</v>
      </c>
      <c r="G7" s="5" t="s">
        <v>7160</v>
      </c>
      <c r="H7" s="5"/>
      <c r="I7" s="5"/>
      <c r="J7" s="5"/>
    </row>
    <row r="8" spans="1:10" ht="78" customHeight="1" x14ac:dyDescent="0.2">
      <c r="A8" s="5"/>
      <c r="B8" s="5"/>
      <c r="C8" s="5"/>
      <c r="D8" s="5"/>
      <c r="E8" s="5"/>
      <c r="F8" s="5"/>
      <c r="G8" s="5"/>
      <c r="H8" s="5"/>
      <c r="I8" s="5"/>
      <c r="J8" s="5"/>
    </row>
    <row r="9" spans="1:10" ht="78" customHeight="1" x14ac:dyDescent="0.2">
      <c r="A9" s="5"/>
      <c r="B9" s="5"/>
      <c r="C9" s="5"/>
      <c r="D9" s="5"/>
      <c r="E9" s="5"/>
      <c r="F9" s="5"/>
      <c r="G9" s="5"/>
      <c r="H9" s="5"/>
      <c r="I9" s="5"/>
      <c r="J9" s="5"/>
    </row>
  </sheetData>
  <dataValidations count="4">
    <dataValidation type="list" sqref="D7:D1200" xr:uid="{00000000-0002-0000-2300-000000000000}">
      <formula1>og_list_9</formula1>
    </dataValidation>
    <dataValidation type="list" sqref="E7:E1200" xr:uid="{00000000-0002-0000-2300-000001000000}">
      <formula1>og_list_4</formula1>
    </dataValidation>
    <dataValidation type="list" sqref="F7:F1200" xr:uid="{00000000-0002-0000-2300-000002000000}">
      <formula1>"PROJECT ONLY,REUSABLE CANDIDATE,PROMOTED,ARCHIVED"</formula1>
    </dataValidation>
    <dataValidation type="list" sqref="J7:J1200" xr:uid="{00000000-0002-0000-2300-000003000000}">
      <formula1>og_list_23</formula1>
    </dataValidation>
  </dataValidations>
  <pageMargins left="0.7" right="0.7" top="0.75" bottom="0.75" header="0.3" footer="0.3"/>
  <tableParts count="1">
    <tablePart r:id="rId1"/>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L97"/>
  <sheetViews>
    <sheetView showGridLines="0" workbookViewId="0">
      <pane ySplit="1" topLeftCell="A2" activePane="bottomLeft" state="frozen"/>
      <selection pane="bottomLeft"/>
    </sheetView>
  </sheetViews>
  <sheetFormatPr defaultRowHeight="15" x14ac:dyDescent="0.2"/>
  <cols>
    <col min="1" max="8" width="27.0390625" customWidth="1"/>
    <col min="10" max="12" width="23.9453125" customWidth="1"/>
  </cols>
  <sheetData>
    <row r="1" spans="1:12" ht="30" customHeight="1" x14ac:dyDescent="0.2">
      <c r="A1" s="10" t="s">
        <v>7161</v>
      </c>
      <c r="B1" s="10" t="s">
        <v>7162</v>
      </c>
      <c r="C1" s="10" t="s">
        <v>7163</v>
      </c>
      <c r="D1" s="10" t="s">
        <v>7164</v>
      </c>
      <c r="E1" s="10" t="s">
        <v>5545</v>
      </c>
      <c r="F1" s="10" t="s">
        <v>7165</v>
      </c>
      <c r="G1" s="10" t="s">
        <v>7166</v>
      </c>
      <c r="H1" s="10" t="s">
        <v>7167</v>
      </c>
      <c r="J1" s="15" t="s">
        <v>7168</v>
      </c>
      <c r="K1" s="15"/>
      <c r="L1" s="15"/>
    </row>
    <row r="2" spans="1:12" ht="30" customHeight="1" x14ac:dyDescent="0.2">
      <c r="A2" s="1" t="str">
        <f>IF(Releases!C7="","",Releases!C7)</f>
        <v>REL-EFX</v>
      </c>
      <c r="B2" s="1">
        <v>1</v>
      </c>
      <c r="C2" s="1" t="str">
        <f>IF(A2="","",TRIM(MID(SUBSTITUTE(SUBSTITUTE(SUBSTITUTE(SUBSTITUTE(Releases!G7,"[",""),"]",""),CHAR(34),""),",",REPT(" ",256)),(1-1)*256+1,256)))</f>
        <v>R-DOC-FINAL</v>
      </c>
      <c r="D2" s="1">
        <f>IF(C2="",0,COUNTIFS('Record Revisions'!$C$7:$C$1200,C2))</f>
        <v>1</v>
      </c>
      <c r="E2" s="1">
        <f>IF(C2="",0,COUNTIFS(Dependencies!$E$7:$E$1200,C2,Dependencies!$I$7:$I$1200,"&lt;&gt;CURRENT"))</f>
        <v>0</v>
      </c>
      <c r="F2" s="1" t="str">
        <f>IF(A2="","",TRIM(MID(SUBSTITUTE(SUBSTITUTE(SUBSTITUTE(SUBSTITUTE(Releases!I7,"[",""),"]",""),CHAR(34),""),",",REPT(" ",256)),(1-1)*256+1,256)))</f>
        <v/>
      </c>
      <c r="G2" s="1">
        <f>IF(F2="",0,IF(COUNTIFS(Checks!$C$7:$C$1200,F2)&lt;&gt;1,0,COUNTIFS(Checks!$C$7:$C$1200,F2,Checks!$H$7:$H$1200,"PASS")+COUNTIFS(Checks!$C$7:$C$1200,F2,Checks!$H$7:$H$1200,"NOT APPLICABLE",Checks!$J$7:$J$1200,"&lt;&gt;")))</f>
        <v>0</v>
      </c>
      <c r="H2" s="1">
        <f>IF(OR(F2="",COUNTIFS(Checks!$C$7:$C$1200,F2)&lt;&gt;1),0,IF(ISNUMBER(SEARCH(CHAR(34)&amp;INDEX(Checks!$D$7:$D$1200,MATCH(F2,Checks!$C$7:$C$1200,0))&amp;CHAR(34),Releases!G7)),1,0))</f>
        <v>0</v>
      </c>
      <c r="J2" s="15"/>
      <c r="K2" s="15"/>
      <c r="L2" s="15"/>
    </row>
    <row r="3" spans="1:12" ht="30" customHeight="1" x14ac:dyDescent="0.2">
      <c r="A3" s="1" t="str">
        <f>IF(Releases!C7="","",Releases!C7)</f>
        <v>REL-EFX</v>
      </c>
      <c r="B3" s="1">
        <v>2</v>
      </c>
      <c r="C3" s="1" t="str">
        <f>IF(A3="","",TRIM(MID(SUBSTITUTE(SUBSTITUTE(SUBSTITUTE(SUBSTITUTE(Releases!G7,"[",""),"]",""),CHAR(34),""),",",REPT(" ",256)),(2-1)*256+1,256)))</f>
        <v>R-OUTPUT-F01</v>
      </c>
      <c r="D3" s="1">
        <f>IF(C3="",0,COUNTIFS('Record Revisions'!$C$7:$C$1200,C3))</f>
        <v>1</v>
      </c>
      <c r="E3" s="1">
        <f>IF(C3="",0,COUNTIFS(Dependencies!$E$7:$E$1200,C3,Dependencies!$I$7:$I$1200,"&lt;&gt;CURRENT"))</f>
        <v>0</v>
      </c>
      <c r="F3" s="1" t="str">
        <f>IF(A3="","",TRIM(MID(SUBSTITUTE(SUBSTITUTE(SUBSTITUTE(SUBSTITUTE(Releases!I7,"[",""),"]",""),CHAR(34),""),",",REPT(" ",256)),(2-1)*256+1,256)))</f>
        <v/>
      </c>
      <c r="G3" s="1">
        <f>IF(F3="",0,IF(COUNTIFS(Checks!$C$7:$C$1200,F3)&lt;&gt;1,0,COUNTIFS(Checks!$C$7:$C$1200,F3,Checks!$H$7:$H$1200,"PASS")+COUNTIFS(Checks!$C$7:$C$1200,F3,Checks!$H$7:$H$1200,"NOT APPLICABLE",Checks!$J$7:$J$1200,"&lt;&gt;")))</f>
        <v>0</v>
      </c>
      <c r="H3" s="1">
        <f>IF(OR(F3="",COUNTIFS(Checks!$C$7:$C$1200,F3)&lt;&gt;1),0,IF(ISNUMBER(SEARCH(CHAR(34)&amp;INDEX(Checks!$D$7:$D$1200,MATCH(F3,Checks!$C$7:$C$1200,0))&amp;CHAR(34),Releases!G7)),1,0))</f>
        <v>0</v>
      </c>
      <c r="J3" s="15"/>
      <c r="K3" s="15"/>
      <c r="L3" s="15"/>
    </row>
    <row r="4" spans="1:12" ht="30" customHeight="1" x14ac:dyDescent="0.2">
      <c r="A4" s="1" t="str">
        <f>IF(Releases!C7="","",Releases!C7)</f>
        <v>REL-EFX</v>
      </c>
      <c r="B4" s="1">
        <v>3</v>
      </c>
      <c r="C4" s="1" t="str">
        <f>IF(A4="","",TRIM(MID(SUBSTITUTE(SUBSTITUTE(SUBSTITUTE(SUBSTITUTE(Releases!G7,"[",""),"]",""),CHAR(34),""),",",REPT(" ",256)),(3-1)*256+1,256)))</f>
        <v>R-OUTPUT-F02</v>
      </c>
      <c r="D4" s="1">
        <f>IF(C4="",0,COUNTIFS('Record Revisions'!$C$7:$C$1200,C4))</f>
        <v>1</v>
      </c>
      <c r="E4" s="1">
        <f>IF(C4="",0,COUNTIFS(Dependencies!$E$7:$E$1200,C4,Dependencies!$I$7:$I$1200,"&lt;&gt;CURRENT"))</f>
        <v>0</v>
      </c>
      <c r="F4" s="1" t="str">
        <f>IF(A4="","",TRIM(MID(SUBSTITUTE(SUBSTITUTE(SUBSTITUTE(SUBSTITUTE(Releases!I7,"[",""),"]",""),CHAR(34),""),",",REPT(" ",256)),(3-1)*256+1,256)))</f>
        <v/>
      </c>
      <c r="G4" s="1">
        <f>IF(F4="",0,IF(COUNTIFS(Checks!$C$7:$C$1200,F4)&lt;&gt;1,0,COUNTIFS(Checks!$C$7:$C$1200,F4,Checks!$H$7:$H$1200,"PASS")+COUNTIFS(Checks!$C$7:$C$1200,F4,Checks!$H$7:$H$1200,"NOT APPLICABLE",Checks!$J$7:$J$1200,"&lt;&gt;")))</f>
        <v>0</v>
      </c>
      <c r="H4" s="1">
        <f>IF(OR(F4="",COUNTIFS(Checks!$C$7:$C$1200,F4)&lt;&gt;1),0,IF(ISNUMBER(SEARCH(CHAR(34)&amp;INDEX(Checks!$D$7:$D$1200,MATCH(F4,Checks!$C$7:$C$1200,0))&amp;CHAR(34),Releases!G7)),1,0))</f>
        <v>0</v>
      </c>
      <c r="J4" s="15"/>
      <c r="K4" s="15"/>
      <c r="L4" s="15"/>
    </row>
    <row r="5" spans="1:12" ht="38.1" customHeight="1" x14ac:dyDescent="0.2">
      <c r="A5" s="1" t="str">
        <f>IF(Releases!C7="","",Releases!C7)</f>
        <v>REL-EFX</v>
      </c>
      <c r="B5" s="1">
        <v>4</v>
      </c>
      <c r="C5" s="1" t="str">
        <f>IF(A5="","",TRIM(MID(SUBSTITUTE(SUBSTITUTE(SUBSTITUTE(SUBSTITUTE(Releases!G7,"[",""),"]",""),CHAR(34),""),",",REPT(" ",256)),(4-1)*256+1,256)))</f>
        <v>R-OUTPUT-F03</v>
      </c>
      <c r="D5" s="1">
        <f>IF(C5="",0,COUNTIFS('Record Revisions'!$C$7:$C$1200,C5))</f>
        <v>1</v>
      </c>
      <c r="E5" s="1">
        <f>IF(C5="",0,COUNTIFS(Dependencies!$E$7:$E$1200,C5,Dependencies!$I$7:$I$1200,"&lt;&gt;CURRENT"))</f>
        <v>0</v>
      </c>
      <c r="F5" s="1" t="str">
        <f>IF(A5="","",TRIM(MID(SUBSTITUTE(SUBSTITUTE(SUBSTITUTE(SUBSTITUTE(Releases!I7,"[",""),"]",""),CHAR(34),""),",",REPT(" ",256)),(4-1)*256+1,256)))</f>
        <v/>
      </c>
      <c r="G5" s="1">
        <f>IF(F5="",0,IF(COUNTIFS(Checks!$C$7:$C$1200,F5)&lt;&gt;1,0,COUNTIFS(Checks!$C$7:$C$1200,F5,Checks!$H$7:$H$1200,"PASS")+COUNTIFS(Checks!$C$7:$C$1200,F5,Checks!$H$7:$H$1200,"NOT APPLICABLE",Checks!$J$7:$J$1200,"&lt;&gt;")))</f>
        <v>0</v>
      </c>
      <c r="H5" s="1">
        <f>IF(OR(F5="",COUNTIFS(Checks!$C$7:$C$1200,F5)&lt;&gt;1),0,IF(ISNUMBER(SEARCH(CHAR(34)&amp;INDEX(Checks!$D$7:$D$1200,MATCH(F5,Checks!$C$7:$C$1200,0))&amp;CHAR(34),Releases!G7)),1,0))</f>
        <v>0</v>
      </c>
    </row>
    <row r="6" spans="1:12" ht="38.1" customHeight="1" x14ac:dyDescent="0.2">
      <c r="A6" s="1" t="str">
        <f>IF(Releases!C7="","",Releases!C7)</f>
        <v>REL-EFX</v>
      </c>
      <c r="B6" s="1">
        <v>5</v>
      </c>
      <c r="C6" s="1" t="str">
        <f>IF(A6="","",TRIM(MID(SUBSTITUTE(SUBSTITUTE(SUBSTITUTE(SUBSTITUTE(Releases!G7,"[",""),"]",""),CHAR(34),""),",",REPT(" ",256)),(5-1)*256+1,256)))</f>
        <v>R-OUTPUT-F04</v>
      </c>
      <c r="D6" s="1">
        <f>IF(C6="",0,COUNTIFS('Record Revisions'!$C$7:$C$1200,C6))</f>
        <v>1</v>
      </c>
      <c r="E6" s="1">
        <f>IF(C6="",0,COUNTIFS(Dependencies!$E$7:$E$1200,C6,Dependencies!$I$7:$I$1200,"&lt;&gt;CURRENT"))</f>
        <v>0</v>
      </c>
      <c r="F6" s="1" t="str">
        <f>IF(A6="","",TRIM(MID(SUBSTITUTE(SUBSTITUTE(SUBSTITUTE(SUBSTITUTE(Releases!I7,"[",""),"]",""),CHAR(34),""),",",REPT(" ",256)),(5-1)*256+1,256)))</f>
        <v/>
      </c>
      <c r="G6" s="1">
        <f>IF(F6="",0,IF(COUNTIFS(Checks!$C$7:$C$1200,F6)&lt;&gt;1,0,COUNTIFS(Checks!$C$7:$C$1200,F6,Checks!$H$7:$H$1200,"PASS")+COUNTIFS(Checks!$C$7:$C$1200,F6,Checks!$H$7:$H$1200,"NOT APPLICABLE",Checks!$J$7:$J$1200,"&lt;&gt;")))</f>
        <v>0</v>
      </c>
      <c r="H6" s="1">
        <f>IF(OR(F6="",COUNTIFS(Checks!$C$7:$C$1200,F6)&lt;&gt;1),0,IF(ISNUMBER(SEARCH(CHAR(34)&amp;INDEX(Checks!$D$7:$D$1200,MATCH(F6,Checks!$C$7:$C$1200,0))&amp;CHAR(34),Releases!G7)),1,0))</f>
        <v>0</v>
      </c>
    </row>
    <row r="7" spans="1:12" ht="38.1" customHeight="1" x14ac:dyDescent="0.2">
      <c r="A7" s="1" t="str">
        <f>IF(Releases!C7="","",Releases!C7)</f>
        <v>REL-EFX</v>
      </c>
      <c r="B7" s="1">
        <v>6</v>
      </c>
      <c r="C7" s="1" t="str">
        <f>IF(A7="","",TRIM(MID(SUBSTITUTE(SUBSTITUTE(SUBSTITUTE(SUBSTITUTE(Releases!G7,"[",""),"]",""),CHAR(34),""),",",REPT(" ",256)),(6-1)*256+1,256)))</f>
        <v>R-OUTPUT-F05</v>
      </c>
      <c r="D7" s="1">
        <f>IF(C7="",0,COUNTIFS('Record Revisions'!$C$7:$C$1200,C7))</f>
        <v>1</v>
      </c>
      <c r="E7" s="1">
        <f>IF(C7="",0,COUNTIFS(Dependencies!$E$7:$E$1200,C7,Dependencies!$I$7:$I$1200,"&lt;&gt;CURRENT"))</f>
        <v>0</v>
      </c>
      <c r="F7" s="1" t="str">
        <f>IF(A7="","",TRIM(MID(SUBSTITUTE(SUBSTITUTE(SUBSTITUTE(SUBSTITUTE(Releases!I7,"[",""),"]",""),CHAR(34),""),",",REPT(" ",256)),(6-1)*256+1,256)))</f>
        <v/>
      </c>
      <c r="G7" s="1">
        <f>IF(F7="",0,IF(COUNTIFS(Checks!$C$7:$C$1200,F7)&lt;&gt;1,0,COUNTIFS(Checks!$C$7:$C$1200,F7,Checks!$H$7:$H$1200,"PASS")+COUNTIFS(Checks!$C$7:$C$1200,F7,Checks!$H$7:$H$1200,"NOT APPLICABLE",Checks!$J$7:$J$1200,"&lt;&gt;")))</f>
        <v>0</v>
      </c>
      <c r="H7" s="1">
        <f>IF(OR(F7="",COUNTIFS(Checks!$C$7:$C$1200,F7)&lt;&gt;1),0,IF(ISNUMBER(SEARCH(CHAR(34)&amp;INDEX(Checks!$D$7:$D$1200,MATCH(F7,Checks!$C$7:$C$1200,0))&amp;CHAR(34),Releases!G7)),1,0))</f>
        <v>0</v>
      </c>
    </row>
    <row r="8" spans="1:12" ht="38.1" customHeight="1" x14ac:dyDescent="0.2">
      <c r="A8" s="1" t="str">
        <f>IF(Releases!C7="","",Releases!C7)</f>
        <v>REL-EFX</v>
      </c>
      <c r="B8" s="1">
        <v>7</v>
      </c>
      <c r="C8" s="1" t="str">
        <f>IF(A8="","",TRIM(MID(SUBSTITUTE(SUBSTITUTE(SUBSTITUTE(SUBSTITUTE(Releases!G7,"[",""),"]",""),CHAR(34),""),",",REPT(" ",256)),(7-1)*256+1,256)))</f>
        <v>R-OUTPUT-F06</v>
      </c>
      <c r="D8" s="1">
        <f>IF(C8="",0,COUNTIFS('Record Revisions'!$C$7:$C$1200,C8))</f>
        <v>1</v>
      </c>
      <c r="E8" s="1">
        <f>IF(C8="",0,COUNTIFS(Dependencies!$E$7:$E$1200,C8,Dependencies!$I$7:$I$1200,"&lt;&gt;CURRENT"))</f>
        <v>0</v>
      </c>
      <c r="F8" s="1" t="str">
        <f>IF(A8="","",TRIM(MID(SUBSTITUTE(SUBSTITUTE(SUBSTITUTE(SUBSTITUTE(Releases!I7,"[",""),"]",""),CHAR(34),""),",",REPT(" ",256)),(7-1)*256+1,256)))</f>
        <v/>
      </c>
      <c r="G8" s="1">
        <f>IF(F8="",0,IF(COUNTIFS(Checks!$C$7:$C$1200,F8)&lt;&gt;1,0,COUNTIFS(Checks!$C$7:$C$1200,F8,Checks!$H$7:$H$1200,"PASS")+COUNTIFS(Checks!$C$7:$C$1200,F8,Checks!$H$7:$H$1200,"NOT APPLICABLE",Checks!$J$7:$J$1200,"&lt;&gt;")))</f>
        <v>0</v>
      </c>
      <c r="H8" s="1">
        <f>IF(OR(F8="",COUNTIFS(Checks!$C$7:$C$1200,F8)&lt;&gt;1),0,IF(ISNUMBER(SEARCH(CHAR(34)&amp;INDEX(Checks!$D$7:$D$1200,MATCH(F8,Checks!$C$7:$C$1200,0))&amp;CHAR(34),Releases!G7)),1,0))</f>
        <v>0</v>
      </c>
    </row>
    <row r="9" spans="1:12" ht="38.1" customHeight="1" x14ac:dyDescent="0.2">
      <c r="A9" s="1" t="str">
        <f>IF(Releases!C7="","",Releases!C7)</f>
        <v>REL-EFX</v>
      </c>
      <c r="B9" s="1">
        <v>8</v>
      </c>
      <c r="C9" s="1" t="str">
        <f>IF(A9="","",TRIM(MID(SUBSTITUTE(SUBSTITUTE(SUBSTITUTE(SUBSTITUTE(Releases!G7,"[",""),"]",""),CHAR(34),""),",",REPT(" ",256)),(8-1)*256+1,256)))</f>
        <v>R-OUTPUT-F07</v>
      </c>
      <c r="D9" s="1">
        <f>IF(C9="",0,COUNTIFS('Record Revisions'!$C$7:$C$1200,C9))</f>
        <v>1</v>
      </c>
      <c r="E9" s="1">
        <f>IF(C9="",0,COUNTIFS(Dependencies!$E$7:$E$1200,C9,Dependencies!$I$7:$I$1200,"&lt;&gt;CURRENT"))</f>
        <v>0</v>
      </c>
      <c r="F9" s="1" t="str">
        <f>IF(A9="","",TRIM(MID(SUBSTITUTE(SUBSTITUTE(SUBSTITUTE(SUBSTITUTE(Releases!I7,"[",""),"]",""),CHAR(34),""),",",REPT(" ",256)),(8-1)*256+1,256)))</f>
        <v/>
      </c>
      <c r="G9" s="1">
        <f>IF(F9="",0,IF(COUNTIFS(Checks!$C$7:$C$1200,F9)&lt;&gt;1,0,COUNTIFS(Checks!$C$7:$C$1200,F9,Checks!$H$7:$H$1200,"PASS")+COUNTIFS(Checks!$C$7:$C$1200,F9,Checks!$H$7:$H$1200,"NOT APPLICABLE",Checks!$J$7:$J$1200,"&lt;&gt;")))</f>
        <v>0</v>
      </c>
      <c r="H9" s="1">
        <f>IF(OR(F9="",COUNTIFS(Checks!$C$7:$C$1200,F9)&lt;&gt;1),0,IF(ISNUMBER(SEARCH(CHAR(34)&amp;INDEX(Checks!$D$7:$D$1200,MATCH(F9,Checks!$C$7:$C$1200,0))&amp;CHAR(34),Releases!G7)),1,0))</f>
        <v>0</v>
      </c>
    </row>
    <row r="10" spans="1:12" ht="38.1" customHeight="1" x14ac:dyDescent="0.2">
      <c r="A10" s="1" t="str">
        <f>IF(Releases!C7="","",Releases!C7)</f>
        <v>REL-EFX</v>
      </c>
      <c r="B10" s="1">
        <v>9</v>
      </c>
      <c r="C10" s="1" t="str">
        <f>IF(A10="","",TRIM(MID(SUBSTITUTE(SUBSTITUTE(SUBSTITUTE(SUBSTITUTE(Releases!G7,"[",""),"]",""),CHAR(34),""),",",REPT(" ",256)),(9-1)*256+1,256)))</f>
        <v>R-OUTPUT-F08</v>
      </c>
      <c r="D10" s="1">
        <f>IF(C10="",0,COUNTIFS('Record Revisions'!$C$7:$C$1200,C10))</f>
        <v>1</v>
      </c>
      <c r="E10" s="1">
        <f>IF(C10="",0,COUNTIFS(Dependencies!$E$7:$E$1200,C10,Dependencies!$I$7:$I$1200,"&lt;&gt;CURRENT"))</f>
        <v>0</v>
      </c>
      <c r="F10" s="1" t="str">
        <f>IF(A10="","",TRIM(MID(SUBSTITUTE(SUBSTITUTE(SUBSTITUTE(SUBSTITUTE(Releases!I7,"[",""),"]",""),CHAR(34),""),",",REPT(" ",256)),(9-1)*256+1,256)))</f>
        <v/>
      </c>
      <c r="G10" s="1">
        <f>IF(F10="",0,IF(COUNTIFS(Checks!$C$7:$C$1200,F10)&lt;&gt;1,0,COUNTIFS(Checks!$C$7:$C$1200,F10,Checks!$H$7:$H$1200,"PASS")+COUNTIFS(Checks!$C$7:$C$1200,F10,Checks!$H$7:$H$1200,"NOT APPLICABLE",Checks!$J$7:$J$1200,"&lt;&gt;")))</f>
        <v>0</v>
      </c>
      <c r="H10" s="1">
        <f>IF(OR(F10="",COUNTIFS(Checks!$C$7:$C$1200,F10)&lt;&gt;1),0,IF(ISNUMBER(SEARCH(CHAR(34)&amp;INDEX(Checks!$D$7:$D$1200,MATCH(F10,Checks!$C$7:$C$1200,0))&amp;CHAR(34),Releases!G7)),1,0))</f>
        <v>0</v>
      </c>
    </row>
    <row r="11" spans="1:12" ht="38.1" customHeight="1" x14ac:dyDescent="0.2">
      <c r="A11" s="1" t="str">
        <f>IF(Releases!C7="","",Releases!C7)</f>
        <v>REL-EFX</v>
      </c>
      <c r="B11" s="1">
        <v>10</v>
      </c>
      <c r="C11" s="1" t="str">
        <f>IF(A11="","",TRIM(MID(SUBSTITUTE(SUBSTITUTE(SUBSTITUTE(SUBSTITUTE(Releases!G7,"[",""),"]",""),CHAR(34),""),",",REPT(" ",256)),(10-1)*256+1,256)))</f>
        <v/>
      </c>
      <c r="D11" s="1">
        <f>IF(C11="",0,COUNTIFS('Record Revisions'!$C$7:$C$1200,C11))</f>
        <v>0</v>
      </c>
      <c r="E11" s="1">
        <f>IF(C11="",0,COUNTIFS(Dependencies!$E$7:$E$1200,C11,Dependencies!$I$7:$I$1200,"&lt;&gt;CURRENT"))</f>
        <v>0</v>
      </c>
      <c r="F11" s="1" t="str">
        <f>IF(A11="","",TRIM(MID(SUBSTITUTE(SUBSTITUTE(SUBSTITUTE(SUBSTITUTE(Releases!I7,"[",""),"]",""),CHAR(34),""),",",REPT(" ",256)),(10-1)*256+1,256)))</f>
        <v/>
      </c>
      <c r="G11" s="1">
        <f>IF(F11="",0,IF(COUNTIFS(Checks!$C$7:$C$1200,F11)&lt;&gt;1,0,COUNTIFS(Checks!$C$7:$C$1200,F11,Checks!$H$7:$H$1200,"PASS")+COUNTIFS(Checks!$C$7:$C$1200,F11,Checks!$H$7:$H$1200,"NOT APPLICABLE",Checks!$J$7:$J$1200,"&lt;&gt;")))</f>
        <v>0</v>
      </c>
      <c r="H11" s="1">
        <f>IF(OR(F11="",COUNTIFS(Checks!$C$7:$C$1200,F11)&lt;&gt;1),0,IF(ISNUMBER(SEARCH(CHAR(34)&amp;INDEX(Checks!$D$7:$D$1200,MATCH(F11,Checks!$C$7:$C$1200,0))&amp;CHAR(34),Releases!G7)),1,0))</f>
        <v>0</v>
      </c>
    </row>
    <row r="12" spans="1:12" ht="38.1" customHeight="1" x14ac:dyDescent="0.2">
      <c r="A12" s="1" t="str">
        <f>IF(Releases!C7="","",Releases!C7)</f>
        <v>REL-EFX</v>
      </c>
      <c r="B12" s="1">
        <v>11</v>
      </c>
      <c r="C12" s="1" t="str">
        <f>IF(A12="","",TRIM(MID(SUBSTITUTE(SUBSTITUTE(SUBSTITUTE(SUBSTITUTE(Releases!G7,"[",""),"]",""),CHAR(34),""),",",REPT(" ",256)),(11-1)*256+1,256)))</f>
        <v/>
      </c>
      <c r="D12" s="1">
        <f>IF(C12="",0,COUNTIFS('Record Revisions'!$C$7:$C$1200,C12))</f>
        <v>0</v>
      </c>
      <c r="E12" s="1">
        <f>IF(C12="",0,COUNTIFS(Dependencies!$E$7:$E$1200,C12,Dependencies!$I$7:$I$1200,"&lt;&gt;CURRENT"))</f>
        <v>0</v>
      </c>
      <c r="F12" s="1" t="str">
        <f>IF(A12="","",TRIM(MID(SUBSTITUTE(SUBSTITUTE(SUBSTITUTE(SUBSTITUTE(Releases!I7,"[",""),"]",""),CHAR(34),""),",",REPT(" ",256)),(11-1)*256+1,256)))</f>
        <v/>
      </c>
      <c r="G12" s="1">
        <f>IF(F12="",0,IF(COUNTIFS(Checks!$C$7:$C$1200,F12)&lt;&gt;1,0,COUNTIFS(Checks!$C$7:$C$1200,F12,Checks!$H$7:$H$1200,"PASS")+COUNTIFS(Checks!$C$7:$C$1200,F12,Checks!$H$7:$H$1200,"NOT APPLICABLE",Checks!$J$7:$J$1200,"&lt;&gt;")))</f>
        <v>0</v>
      </c>
      <c r="H12" s="1">
        <f>IF(OR(F12="",COUNTIFS(Checks!$C$7:$C$1200,F12)&lt;&gt;1),0,IF(ISNUMBER(SEARCH(CHAR(34)&amp;INDEX(Checks!$D$7:$D$1200,MATCH(F12,Checks!$C$7:$C$1200,0))&amp;CHAR(34),Releases!G7)),1,0))</f>
        <v>0</v>
      </c>
    </row>
    <row r="13" spans="1:12" ht="38.1" customHeight="1" x14ac:dyDescent="0.2">
      <c r="A13" s="1" t="str">
        <f>IF(Releases!C7="","",Releases!C7)</f>
        <v>REL-EFX</v>
      </c>
      <c r="B13" s="1">
        <v>12</v>
      </c>
      <c r="C13" s="1" t="str">
        <f>IF(A13="","",TRIM(MID(SUBSTITUTE(SUBSTITUTE(SUBSTITUTE(SUBSTITUTE(Releases!G7,"[",""),"]",""),CHAR(34),""),",",REPT(" ",256)),(12-1)*256+1,256)))</f>
        <v/>
      </c>
      <c r="D13" s="1">
        <f>IF(C13="",0,COUNTIFS('Record Revisions'!$C$7:$C$1200,C13))</f>
        <v>0</v>
      </c>
      <c r="E13" s="1">
        <f>IF(C13="",0,COUNTIFS(Dependencies!$E$7:$E$1200,C13,Dependencies!$I$7:$I$1200,"&lt;&gt;CURRENT"))</f>
        <v>0</v>
      </c>
      <c r="F13" s="1" t="str">
        <f>IF(A13="","",TRIM(MID(SUBSTITUTE(SUBSTITUTE(SUBSTITUTE(SUBSTITUTE(Releases!I7,"[",""),"]",""),CHAR(34),""),",",REPT(" ",256)),(12-1)*256+1,256)))</f>
        <v/>
      </c>
      <c r="G13" s="1">
        <f>IF(F13="",0,IF(COUNTIFS(Checks!$C$7:$C$1200,F13)&lt;&gt;1,0,COUNTIFS(Checks!$C$7:$C$1200,F13,Checks!$H$7:$H$1200,"PASS")+COUNTIFS(Checks!$C$7:$C$1200,F13,Checks!$H$7:$H$1200,"NOT APPLICABLE",Checks!$J$7:$J$1200,"&lt;&gt;")))</f>
        <v>0</v>
      </c>
      <c r="H13" s="1">
        <f>IF(OR(F13="",COUNTIFS(Checks!$C$7:$C$1200,F13)&lt;&gt;1),0,IF(ISNUMBER(SEARCH(CHAR(34)&amp;INDEX(Checks!$D$7:$D$1200,MATCH(F13,Checks!$C$7:$C$1200,0))&amp;CHAR(34),Releases!G7)),1,0))</f>
        <v>0</v>
      </c>
    </row>
    <row r="14" spans="1:12" ht="38.1" customHeight="1" x14ac:dyDescent="0.2">
      <c r="A14" s="1" t="str">
        <f>IF(Releases!C7="","",Releases!C7)</f>
        <v>REL-EFX</v>
      </c>
      <c r="B14" s="1">
        <v>13</v>
      </c>
      <c r="C14" s="1" t="str">
        <f>IF(A14="","",TRIM(MID(SUBSTITUTE(SUBSTITUTE(SUBSTITUTE(SUBSTITUTE(Releases!G7,"[",""),"]",""),CHAR(34),""),",",REPT(" ",256)),(13-1)*256+1,256)))</f>
        <v/>
      </c>
      <c r="D14" s="1">
        <f>IF(C14="",0,COUNTIFS('Record Revisions'!$C$7:$C$1200,C14))</f>
        <v>0</v>
      </c>
      <c r="E14" s="1">
        <f>IF(C14="",0,COUNTIFS(Dependencies!$E$7:$E$1200,C14,Dependencies!$I$7:$I$1200,"&lt;&gt;CURRENT"))</f>
        <v>0</v>
      </c>
      <c r="F14" s="1" t="str">
        <f>IF(A14="","",TRIM(MID(SUBSTITUTE(SUBSTITUTE(SUBSTITUTE(SUBSTITUTE(Releases!I7,"[",""),"]",""),CHAR(34),""),",",REPT(" ",256)),(13-1)*256+1,256)))</f>
        <v/>
      </c>
      <c r="G14" s="1">
        <f>IF(F14="",0,IF(COUNTIFS(Checks!$C$7:$C$1200,F14)&lt;&gt;1,0,COUNTIFS(Checks!$C$7:$C$1200,F14,Checks!$H$7:$H$1200,"PASS")+COUNTIFS(Checks!$C$7:$C$1200,F14,Checks!$H$7:$H$1200,"NOT APPLICABLE",Checks!$J$7:$J$1200,"&lt;&gt;")))</f>
        <v>0</v>
      </c>
      <c r="H14" s="1">
        <f>IF(OR(F14="",COUNTIFS(Checks!$C$7:$C$1200,F14)&lt;&gt;1),0,IF(ISNUMBER(SEARCH(CHAR(34)&amp;INDEX(Checks!$D$7:$D$1200,MATCH(F14,Checks!$C$7:$C$1200,0))&amp;CHAR(34),Releases!G7)),1,0))</f>
        <v>0</v>
      </c>
    </row>
    <row r="15" spans="1:12" ht="38.1" customHeight="1" x14ac:dyDescent="0.2">
      <c r="A15" s="1" t="str">
        <f>IF(Releases!C7="","",Releases!C7)</f>
        <v>REL-EFX</v>
      </c>
      <c r="B15" s="1">
        <v>14</v>
      </c>
      <c r="C15" s="1" t="str">
        <f>IF(A15="","",TRIM(MID(SUBSTITUTE(SUBSTITUTE(SUBSTITUTE(SUBSTITUTE(Releases!G7,"[",""),"]",""),CHAR(34),""),",",REPT(" ",256)),(14-1)*256+1,256)))</f>
        <v/>
      </c>
      <c r="D15" s="1">
        <f>IF(C15="",0,COUNTIFS('Record Revisions'!$C$7:$C$1200,C15))</f>
        <v>0</v>
      </c>
      <c r="E15" s="1">
        <f>IF(C15="",0,COUNTIFS(Dependencies!$E$7:$E$1200,C15,Dependencies!$I$7:$I$1200,"&lt;&gt;CURRENT"))</f>
        <v>0</v>
      </c>
      <c r="F15" s="1" t="str">
        <f>IF(A15="","",TRIM(MID(SUBSTITUTE(SUBSTITUTE(SUBSTITUTE(SUBSTITUTE(Releases!I7,"[",""),"]",""),CHAR(34),""),",",REPT(" ",256)),(14-1)*256+1,256)))</f>
        <v/>
      </c>
      <c r="G15" s="1">
        <f>IF(F15="",0,IF(COUNTIFS(Checks!$C$7:$C$1200,F15)&lt;&gt;1,0,COUNTIFS(Checks!$C$7:$C$1200,F15,Checks!$H$7:$H$1200,"PASS")+COUNTIFS(Checks!$C$7:$C$1200,F15,Checks!$H$7:$H$1200,"NOT APPLICABLE",Checks!$J$7:$J$1200,"&lt;&gt;")))</f>
        <v>0</v>
      </c>
      <c r="H15" s="1">
        <f>IF(OR(F15="",COUNTIFS(Checks!$C$7:$C$1200,F15)&lt;&gt;1),0,IF(ISNUMBER(SEARCH(CHAR(34)&amp;INDEX(Checks!$D$7:$D$1200,MATCH(F15,Checks!$C$7:$C$1200,0))&amp;CHAR(34),Releases!G7)),1,0))</f>
        <v>0</v>
      </c>
    </row>
    <row r="16" spans="1:12" ht="38.1" customHeight="1" x14ac:dyDescent="0.2">
      <c r="A16" s="1" t="str">
        <f>IF(Releases!C7="","",Releases!C7)</f>
        <v>REL-EFX</v>
      </c>
      <c r="B16" s="1">
        <v>15</v>
      </c>
      <c r="C16" s="1" t="str">
        <f>IF(A16="","",TRIM(MID(SUBSTITUTE(SUBSTITUTE(SUBSTITUTE(SUBSTITUTE(Releases!G7,"[",""),"]",""),CHAR(34),""),",",REPT(" ",256)),(15-1)*256+1,256)))</f>
        <v/>
      </c>
      <c r="D16" s="1">
        <f>IF(C16="",0,COUNTIFS('Record Revisions'!$C$7:$C$1200,C16))</f>
        <v>0</v>
      </c>
      <c r="E16" s="1">
        <f>IF(C16="",0,COUNTIFS(Dependencies!$E$7:$E$1200,C16,Dependencies!$I$7:$I$1200,"&lt;&gt;CURRENT"))</f>
        <v>0</v>
      </c>
      <c r="F16" s="1" t="str">
        <f>IF(A16="","",TRIM(MID(SUBSTITUTE(SUBSTITUTE(SUBSTITUTE(SUBSTITUTE(Releases!I7,"[",""),"]",""),CHAR(34),""),",",REPT(" ",256)),(15-1)*256+1,256)))</f>
        <v/>
      </c>
      <c r="G16" s="1">
        <f>IF(F16="",0,IF(COUNTIFS(Checks!$C$7:$C$1200,F16)&lt;&gt;1,0,COUNTIFS(Checks!$C$7:$C$1200,F16,Checks!$H$7:$H$1200,"PASS")+COUNTIFS(Checks!$C$7:$C$1200,F16,Checks!$H$7:$H$1200,"NOT APPLICABLE",Checks!$J$7:$J$1200,"&lt;&gt;")))</f>
        <v>0</v>
      </c>
      <c r="H16" s="1">
        <f>IF(OR(F16="",COUNTIFS(Checks!$C$7:$C$1200,F16)&lt;&gt;1),0,IF(ISNUMBER(SEARCH(CHAR(34)&amp;INDEX(Checks!$D$7:$D$1200,MATCH(F16,Checks!$C$7:$C$1200,0))&amp;CHAR(34),Releases!G7)),1,0))</f>
        <v>0</v>
      </c>
    </row>
    <row r="17" spans="1:8" ht="38.1" customHeight="1" x14ac:dyDescent="0.2">
      <c r="A17" s="1" t="str">
        <f>IF(Releases!C7="","",Releases!C7)</f>
        <v>REL-EFX</v>
      </c>
      <c r="B17" s="1">
        <v>16</v>
      </c>
      <c r="C17" s="1" t="str">
        <f>IF(A17="","",TRIM(MID(SUBSTITUTE(SUBSTITUTE(SUBSTITUTE(SUBSTITUTE(Releases!G7,"[",""),"]",""),CHAR(34),""),",",REPT(" ",256)),(16-1)*256+1,256)))</f>
        <v/>
      </c>
      <c r="D17" s="1">
        <f>IF(C17="",0,COUNTIFS('Record Revisions'!$C$7:$C$1200,C17))</f>
        <v>0</v>
      </c>
      <c r="E17" s="1">
        <f>IF(C17="",0,COUNTIFS(Dependencies!$E$7:$E$1200,C17,Dependencies!$I$7:$I$1200,"&lt;&gt;CURRENT"))</f>
        <v>0</v>
      </c>
      <c r="F17" s="1" t="str">
        <f>IF(A17="","",TRIM(MID(SUBSTITUTE(SUBSTITUTE(SUBSTITUTE(SUBSTITUTE(Releases!I7,"[",""),"]",""),CHAR(34),""),",",REPT(" ",256)),(16-1)*256+1,256)))</f>
        <v/>
      </c>
      <c r="G17" s="1">
        <f>IF(F17="",0,IF(COUNTIFS(Checks!$C$7:$C$1200,F17)&lt;&gt;1,0,COUNTIFS(Checks!$C$7:$C$1200,F17,Checks!$H$7:$H$1200,"PASS")+COUNTIFS(Checks!$C$7:$C$1200,F17,Checks!$H$7:$H$1200,"NOT APPLICABLE",Checks!$J$7:$J$1200,"&lt;&gt;")))</f>
        <v>0</v>
      </c>
      <c r="H17" s="1">
        <f>IF(OR(F17="",COUNTIFS(Checks!$C$7:$C$1200,F17)&lt;&gt;1),0,IF(ISNUMBER(SEARCH(CHAR(34)&amp;INDEX(Checks!$D$7:$D$1200,MATCH(F17,Checks!$C$7:$C$1200,0))&amp;CHAR(34),Releases!G7)),1,0))</f>
        <v>0</v>
      </c>
    </row>
    <row r="18" spans="1:8" ht="38.1" customHeight="1" x14ac:dyDescent="0.2">
      <c r="A18" s="1" t="str">
        <f>IF(Releases!C7="","",Releases!C7)</f>
        <v>REL-EFX</v>
      </c>
      <c r="B18" s="1">
        <v>17</v>
      </c>
      <c r="C18" s="1" t="str">
        <f>IF(A18="","",TRIM(MID(SUBSTITUTE(SUBSTITUTE(SUBSTITUTE(SUBSTITUTE(Releases!G7,"[",""),"]",""),CHAR(34),""),",",REPT(" ",256)),(17-1)*256+1,256)))</f>
        <v/>
      </c>
      <c r="D18" s="1">
        <f>IF(C18="",0,COUNTIFS('Record Revisions'!$C$7:$C$1200,C18))</f>
        <v>0</v>
      </c>
      <c r="E18" s="1">
        <f>IF(C18="",0,COUNTIFS(Dependencies!$E$7:$E$1200,C18,Dependencies!$I$7:$I$1200,"&lt;&gt;CURRENT"))</f>
        <v>0</v>
      </c>
      <c r="F18" s="1" t="str">
        <f>IF(A18="","",TRIM(MID(SUBSTITUTE(SUBSTITUTE(SUBSTITUTE(SUBSTITUTE(Releases!I7,"[",""),"]",""),CHAR(34),""),",",REPT(" ",256)),(17-1)*256+1,256)))</f>
        <v/>
      </c>
      <c r="G18" s="1">
        <f>IF(F18="",0,IF(COUNTIFS(Checks!$C$7:$C$1200,F18)&lt;&gt;1,0,COUNTIFS(Checks!$C$7:$C$1200,F18,Checks!$H$7:$H$1200,"PASS")+COUNTIFS(Checks!$C$7:$C$1200,F18,Checks!$H$7:$H$1200,"NOT APPLICABLE",Checks!$J$7:$J$1200,"&lt;&gt;")))</f>
        <v>0</v>
      </c>
      <c r="H18" s="1">
        <f>IF(OR(F18="",COUNTIFS(Checks!$C$7:$C$1200,F18)&lt;&gt;1),0,IF(ISNUMBER(SEARCH(CHAR(34)&amp;INDEX(Checks!$D$7:$D$1200,MATCH(F18,Checks!$C$7:$C$1200,0))&amp;CHAR(34),Releases!G7)),1,0))</f>
        <v>0</v>
      </c>
    </row>
    <row r="19" spans="1:8" ht="38.1" customHeight="1" x14ac:dyDescent="0.2">
      <c r="A19" s="1" t="str">
        <f>IF(Releases!C7="","",Releases!C7)</f>
        <v>REL-EFX</v>
      </c>
      <c r="B19" s="1">
        <v>18</v>
      </c>
      <c r="C19" s="1" t="str">
        <f>IF(A19="","",TRIM(MID(SUBSTITUTE(SUBSTITUTE(SUBSTITUTE(SUBSTITUTE(Releases!G7,"[",""),"]",""),CHAR(34),""),",",REPT(" ",256)),(18-1)*256+1,256)))</f>
        <v/>
      </c>
      <c r="D19" s="1">
        <f>IF(C19="",0,COUNTIFS('Record Revisions'!$C$7:$C$1200,C19))</f>
        <v>0</v>
      </c>
      <c r="E19" s="1">
        <f>IF(C19="",0,COUNTIFS(Dependencies!$E$7:$E$1200,C19,Dependencies!$I$7:$I$1200,"&lt;&gt;CURRENT"))</f>
        <v>0</v>
      </c>
      <c r="F19" s="1" t="str">
        <f>IF(A19="","",TRIM(MID(SUBSTITUTE(SUBSTITUTE(SUBSTITUTE(SUBSTITUTE(Releases!I7,"[",""),"]",""),CHAR(34),""),",",REPT(" ",256)),(18-1)*256+1,256)))</f>
        <v/>
      </c>
      <c r="G19" s="1">
        <f>IF(F19="",0,IF(COUNTIFS(Checks!$C$7:$C$1200,F19)&lt;&gt;1,0,COUNTIFS(Checks!$C$7:$C$1200,F19,Checks!$H$7:$H$1200,"PASS")+COUNTIFS(Checks!$C$7:$C$1200,F19,Checks!$H$7:$H$1200,"NOT APPLICABLE",Checks!$J$7:$J$1200,"&lt;&gt;")))</f>
        <v>0</v>
      </c>
      <c r="H19" s="1">
        <f>IF(OR(F19="",COUNTIFS(Checks!$C$7:$C$1200,F19)&lt;&gt;1),0,IF(ISNUMBER(SEARCH(CHAR(34)&amp;INDEX(Checks!$D$7:$D$1200,MATCH(F19,Checks!$C$7:$C$1200,0))&amp;CHAR(34),Releases!G7)),1,0))</f>
        <v>0</v>
      </c>
    </row>
    <row r="20" spans="1:8" ht="38.1" customHeight="1" x14ac:dyDescent="0.2">
      <c r="A20" s="1" t="str">
        <f>IF(Releases!C7="","",Releases!C7)</f>
        <v>REL-EFX</v>
      </c>
      <c r="B20" s="1">
        <v>19</v>
      </c>
      <c r="C20" s="1" t="str">
        <f>IF(A20="","",TRIM(MID(SUBSTITUTE(SUBSTITUTE(SUBSTITUTE(SUBSTITUTE(Releases!G7,"[",""),"]",""),CHAR(34),""),",",REPT(" ",256)),(19-1)*256+1,256)))</f>
        <v/>
      </c>
      <c r="D20" s="1">
        <f>IF(C20="",0,COUNTIFS('Record Revisions'!$C$7:$C$1200,C20))</f>
        <v>0</v>
      </c>
      <c r="E20" s="1">
        <f>IF(C20="",0,COUNTIFS(Dependencies!$E$7:$E$1200,C20,Dependencies!$I$7:$I$1200,"&lt;&gt;CURRENT"))</f>
        <v>0</v>
      </c>
      <c r="F20" s="1" t="str">
        <f>IF(A20="","",TRIM(MID(SUBSTITUTE(SUBSTITUTE(SUBSTITUTE(SUBSTITUTE(Releases!I7,"[",""),"]",""),CHAR(34),""),",",REPT(" ",256)),(19-1)*256+1,256)))</f>
        <v/>
      </c>
      <c r="G20" s="1">
        <f>IF(F20="",0,IF(COUNTIFS(Checks!$C$7:$C$1200,F20)&lt;&gt;1,0,COUNTIFS(Checks!$C$7:$C$1200,F20,Checks!$H$7:$H$1200,"PASS")+COUNTIFS(Checks!$C$7:$C$1200,F20,Checks!$H$7:$H$1200,"NOT APPLICABLE",Checks!$J$7:$J$1200,"&lt;&gt;")))</f>
        <v>0</v>
      </c>
      <c r="H20" s="1">
        <f>IF(OR(F20="",COUNTIFS(Checks!$C$7:$C$1200,F20)&lt;&gt;1),0,IF(ISNUMBER(SEARCH(CHAR(34)&amp;INDEX(Checks!$D$7:$D$1200,MATCH(F20,Checks!$C$7:$C$1200,0))&amp;CHAR(34),Releases!G7)),1,0))</f>
        <v>0</v>
      </c>
    </row>
    <row r="21" spans="1:8" ht="38.1" customHeight="1" x14ac:dyDescent="0.2">
      <c r="A21" s="1" t="str">
        <f>IF(Releases!C7="","",Releases!C7)</f>
        <v>REL-EFX</v>
      </c>
      <c r="B21" s="1">
        <v>20</v>
      </c>
      <c r="C21" s="1" t="str">
        <f>IF(A21="","",TRIM(MID(SUBSTITUTE(SUBSTITUTE(SUBSTITUTE(SUBSTITUTE(Releases!G7,"[",""),"]",""),CHAR(34),""),",",REPT(" ",256)),(20-1)*256+1,256)))</f>
        <v/>
      </c>
      <c r="D21" s="1">
        <f>IF(C21="",0,COUNTIFS('Record Revisions'!$C$7:$C$1200,C21))</f>
        <v>0</v>
      </c>
      <c r="E21" s="1">
        <f>IF(C21="",0,COUNTIFS(Dependencies!$E$7:$E$1200,C21,Dependencies!$I$7:$I$1200,"&lt;&gt;CURRENT"))</f>
        <v>0</v>
      </c>
      <c r="F21" s="1" t="str">
        <f>IF(A21="","",TRIM(MID(SUBSTITUTE(SUBSTITUTE(SUBSTITUTE(SUBSTITUTE(Releases!I7,"[",""),"]",""),CHAR(34),""),",",REPT(" ",256)),(20-1)*256+1,256)))</f>
        <v/>
      </c>
      <c r="G21" s="1">
        <f>IF(F21="",0,IF(COUNTIFS(Checks!$C$7:$C$1200,F21)&lt;&gt;1,0,COUNTIFS(Checks!$C$7:$C$1200,F21,Checks!$H$7:$H$1200,"PASS")+COUNTIFS(Checks!$C$7:$C$1200,F21,Checks!$H$7:$H$1200,"NOT APPLICABLE",Checks!$J$7:$J$1200,"&lt;&gt;")))</f>
        <v>0</v>
      </c>
      <c r="H21" s="1">
        <f>IF(OR(F21="",COUNTIFS(Checks!$C$7:$C$1200,F21)&lt;&gt;1),0,IF(ISNUMBER(SEARCH(CHAR(34)&amp;INDEX(Checks!$D$7:$D$1200,MATCH(F21,Checks!$C$7:$C$1200,0))&amp;CHAR(34),Releases!G7)),1,0))</f>
        <v>0</v>
      </c>
    </row>
    <row r="22" spans="1:8" ht="38.1" customHeight="1" x14ac:dyDescent="0.2">
      <c r="A22" s="1" t="str">
        <f>IF(Releases!C7="","",Releases!C7)</f>
        <v>REL-EFX</v>
      </c>
      <c r="B22" s="1">
        <v>21</v>
      </c>
      <c r="C22" s="1" t="str">
        <f>IF(A22="","",TRIM(MID(SUBSTITUTE(SUBSTITUTE(SUBSTITUTE(SUBSTITUTE(Releases!G7,"[",""),"]",""),CHAR(34),""),",",REPT(" ",256)),(21-1)*256+1,256)))</f>
        <v/>
      </c>
      <c r="D22" s="1">
        <f>IF(C22="",0,COUNTIFS('Record Revisions'!$C$7:$C$1200,C22))</f>
        <v>0</v>
      </c>
      <c r="E22" s="1">
        <f>IF(C22="",0,COUNTIFS(Dependencies!$E$7:$E$1200,C22,Dependencies!$I$7:$I$1200,"&lt;&gt;CURRENT"))</f>
        <v>0</v>
      </c>
      <c r="F22" s="1" t="str">
        <f>IF(A22="","",TRIM(MID(SUBSTITUTE(SUBSTITUTE(SUBSTITUTE(SUBSTITUTE(Releases!I7,"[",""),"]",""),CHAR(34),""),",",REPT(" ",256)),(21-1)*256+1,256)))</f>
        <v/>
      </c>
      <c r="G22" s="1">
        <f>IF(F22="",0,IF(COUNTIFS(Checks!$C$7:$C$1200,F22)&lt;&gt;1,0,COUNTIFS(Checks!$C$7:$C$1200,F22,Checks!$H$7:$H$1200,"PASS")+COUNTIFS(Checks!$C$7:$C$1200,F22,Checks!$H$7:$H$1200,"NOT APPLICABLE",Checks!$J$7:$J$1200,"&lt;&gt;")))</f>
        <v>0</v>
      </c>
      <c r="H22" s="1">
        <f>IF(OR(F22="",COUNTIFS(Checks!$C$7:$C$1200,F22)&lt;&gt;1),0,IF(ISNUMBER(SEARCH(CHAR(34)&amp;INDEX(Checks!$D$7:$D$1200,MATCH(F22,Checks!$C$7:$C$1200,0))&amp;CHAR(34),Releases!G7)),1,0))</f>
        <v>0</v>
      </c>
    </row>
    <row r="23" spans="1:8" ht="38.1" customHeight="1" x14ac:dyDescent="0.2">
      <c r="A23" s="1" t="str">
        <f>IF(Releases!C7="","",Releases!C7)</f>
        <v>REL-EFX</v>
      </c>
      <c r="B23" s="1">
        <v>22</v>
      </c>
      <c r="C23" s="1" t="str">
        <f>IF(A23="","",TRIM(MID(SUBSTITUTE(SUBSTITUTE(SUBSTITUTE(SUBSTITUTE(Releases!G7,"[",""),"]",""),CHAR(34),""),",",REPT(" ",256)),(22-1)*256+1,256)))</f>
        <v/>
      </c>
      <c r="D23" s="1">
        <f>IF(C23="",0,COUNTIFS('Record Revisions'!$C$7:$C$1200,C23))</f>
        <v>0</v>
      </c>
      <c r="E23" s="1">
        <f>IF(C23="",0,COUNTIFS(Dependencies!$E$7:$E$1200,C23,Dependencies!$I$7:$I$1200,"&lt;&gt;CURRENT"))</f>
        <v>0</v>
      </c>
      <c r="F23" s="1" t="str">
        <f>IF(A23="","",TRIM(MID(SUBSTITUTE(SUBSTITUTE(SUBSTITUTE(SUBSTITUTE(Releases!I7,"[",""),"]",""),CHAR(34),""),",",REPT(" ",256)),(22-1)*256+1,256)))</f>
        <v/>
      </c>
      <c r="G23" s="1">
        <f>IF(F23="",0,IF(COUNTIFS(Checks!$C$7:$C$1200,F23)&lt;&gt;1,0,COUNTIFS(Checks!$C$7:$C$1200,F23,Checks!$H$7:$H$1200,"PASS")+COUNTIFS(Checks!$C$7:$C$1200,F23,Checks!$H$7:$H$1200,"NOT APPLICABLE",Checks!$J$7:$J$1200,"&lt;&gt;")))</f>
        <v>0</v>
      </c>
      <c r="H23" s="1">
        <f>IF(OR(F23="",COUNTIFS(Checks!$C$7:$C$1200,F23)&lt;&gt;1),0,IF(ISNUMBER(SEARCH(CHAR(34)&amp;INDEX(Checks!$D$7:$D$1200,MATCH(F23,Checks!$C$7:$C$1200,0))&amp;CHAR(34),Releases!G7)),1,0))</f>
        <v>0</v>
      </c>
    </row>
    <row r="24" spans="1:8" ht="38.1" customHeight="1" x14ac:dyDescent="0.2">
      <c r="A24" s="1" t="str">
        <f>IF(Releases!C7="","",Releases!C7)</f>
        <v>REL-EFX</v>
      </c>
      <c r="B24" s="1">
        <v>23</v>
      </c>
      <c r="C24" s="1" t="str">
        <f>IF(A24="","",TRIM(MID(SUBSTITUTE(SUBSTITUTE(SUBSTITUTE(SUBSTITUTE(Releases!G7,"[",""),"]",""),CHAR(34),""),",",REPT(" ",256)),(23-1)*256+1,256)))</f>
        <v/>
      </c>
      <c r="D24" s="1">
        <f>IF(C24="",0,COUNTIFS('Record Revisions'!$C$7:$C$1200,C24))</f>
        <v>0</v>
      </c>
      <c r="E24" s="1">
        <f>IF(C24="",0,COUNTIFS(Dependencies!$E$7:$E$1200,C24,Dependencies!$I$7:$I$1200,"&lt;&gt;CURRENT"))</f>
        <v>0</v>
      </c>
      <c r="F24" s="1" t="str">
        <f>IF(A24="","",TRIM(MID(SUBSTITUTE(SUBSTITUTE(SUBSTITUTE(SUBSTITUTE(Releases!I7,"[",""),"]",""),CHAR(34),""),",",REPT(" ",256)),(23-1)*256+1,256)))</f>
        <v/>
      </c>
      <c r="G24" s="1">
        <f>IF(F24="",0,IF(COUNTIFS(Checks!$C$7:$C$1200,F24)&lt;&gt;1,0,COUNTIFS(Checks!$C$7:$C$1200,F24,Checks!$H$7:$H$1200,"PASS")+COUNTIFS(Checks!$C$7:$C$1200,F24,Checks!$H$7:$H$1200,"NOT APPLICABLE",Checks!$J$7:$J$1200,"&lt;&gt;")))</f>
        <v>0</v>
      </c>
      <c r="H24" s="1">
        <f>IF(OR(F24="",COUNTIFS(Checks!$C$7:$C$1200,F24)&lt;&gt;1),0,IF(ISNUMBER(SEARCH(CHAR(34)&amp;INDEX(Checks!$D$7:$D$1200,MATCH(F24,Checks!$C$7:$C$1200,0))&amp;CHAR(34),Releases!G7)),1,0))</f>
        <v>0</v>
      </c>
    </row>
    <row r="25" spans="1:8" ht="38.1" customHeight="1" x14ac:dyDescent="0.2">
      <c r="A25" s="1" t="str">
        <f>IF(Releases!C7="","",Releases!C7)</f>
        <v>REL-EFX</v>
      </c>
      <c r="B25" s="1">
        <v>24</v>
      </c>
      <c r="C25" s="1" t="str">
        <f>IF(A25="","",TRIM(MID(SUBSTITUTE(SUBSTITUTE(SUBSTITUTE(SUBSTITUTE(Releases!G7,"[",""),"]",""),CHAR(34),""),",",REPT(" ",256)),(24-1)*256+1,256)))</f>
        <v/>
      </c>
      <c r="D25" s="1">
        <f>IF(C25="",0,COUNTIFS('Record Revisions'!$C$7:$C$1200,C25))</f>
        <v>0</v>
      </c>
      <c r="E25" s="1">
        <f>IF(C25="",0,COUNTIFS(Dependencies!$E$7:$E$1200,C25,Dependencies!$I$7:$I$1200,"&lt;&gt;CURRENT"))</f>
        <v>0</v>
      </c>
      <c r="F25" s="1" t="str">
        <f>IF(A25="","",TRIM(MID(SUBSTITUTE(SUBSTITUTE(SUBSTITUTE(SUBSTITUTE(Releases!I7,"[",""),"]",""),CHAR(34),""),",",REPT(" ",256)),(24-1)*256+1,256)))</f>
        <v/>
      </c>
      <c r="G25" s="1">
        <f>IF(F25="",0,IF(COUNTIFS(Checks!$C$7:$C$1200,F25)&lt;&gt;1,0,COUNTIFS(Checks!$C$7:$C$1200,F25,Checks!$H$7:$H$1200,"PASS")+COUNTIFS(Checks!$C$7:$C$1200,F25,Checks!$H$7:$H$1200,"NOT APPLICABLE",Checks!$J$7:$J$1200,"&lt;&gt;")))</f>
        <v>0</v>
      </c>
      <c r="H25" s="1">
        <f>IF(OR(F25="",COUNTIFS(Checks!$C$7:$C$1200,F25)&lt;&gt;1),0,IF(ISNUMBER(SEARCH(CHAR(34)&amp;INDEX(Checks!$D$7:$D$1200,MATCH(F25,Checks!$C$7:$C$1200,0))&amp;CHAR(34),Releases!G7)),1,0))</f>
        <v>0</v>
      </c>
    </row>
    <row r="26" spans="1:8" ht="38.1" customHeight="1" x14ac:dyDescent="0.2">
      <c r="A26" s="1" t="str">
        <f>IF(Releases!C7="","",Releases!C7)</f>
        <v>REL-EFX</v>
      </c>
      <c r="B26" s="1">
        <v>25</v>
      </c>
      <c r="C26" s="1" t="str">
        <f>IF(A26="","",TRIM(MID(SUBSTITUTE(SUBSTITUTE(SUBSTITUTE(SUBSTITUTE(Releases!G7,"[",""),"]",""),CHAR(34),""),",",REPT(" ",256)),(25-1)*256+1,256)))</f>
        <v/>
      </c>
      <c r="D26" s="1">
        <f>IF(C26="",0,COUNTIFS('Record Revisions'!$C$7:$C$1200,C26))</f>
        <v>0</v>
      </c>
      <c r="E26" s="1">
        <f>IF(C26="",0,COUNTIFS(Dependencies!$E$7:$E$1200,C26,Dependencies!$I$7:$I$1200,"&lt;&gt;CURRENT"))</f>
        <v>0</v>
      </c>
      <c r="F26" s="1" t="str">
        <f>IF(A26="","",TRIM(MID(SUBSTITUTE(SUBSTITUTE(SUBSTITUTE(SUBSTITUTE(Releases!I7,"[",""),"]",""),CHAR(34),""),",",REPT(" ",256)),(25-1)*256+1,256)))</f>
        <v/>
      </c>
      <c r="G26" s="1">
        <f>IF(F26="",0,IF(COUNTIFS(Checks!$C$7:$C$1200,F26)&lt;&gt;1,0,COUNTIFS(Checks!$C$7:$C$1200,F26,Checks!$H$7:$H$1200,"PASS")+COUNTIFS(Checks!$C$7:$C$1200,F26,Checks!$H$7:$H$1200,"NOT APPLICABLE",Checks!$J$7:$J$1200,"&lt;&gt;")))</f>
        <v>0</v>
      </c>
      <c r="H26" s="1">
        <f>IF(OR(F26="",COUNTIFS(Checks!$C$7:$C$1200,F26)&lt;&gt;1),0,IF(ISNUMBER(SEARCH(CHAR(34)&amp;INDEX(Checks!$D$7:$D$1200,MATCH(F26,Checks!$C$7:$C$1200,0))&amp;CHAR(34),Releases!G7)),1,0))</f>
        <v>0</v>
      </c>
    </row>
    <row r="27" spans="1:8" ht="38.1" customHeight="1" x14ac:dyDescent="0.2">
      <c r="A27" s="1" t="str">
        <f>IF(Releases!C7="","",Releases!C7)</f>
        <v>REL-EFX</v>
      </c>
      <c r="B27" s="1">
        <v>26</v>
      </c>
      <c r="C27" s="1" t="str">
        <f>IF(A27="","",TRIM(MID(SUBSTITUTE(SUBSTITUTE(SUBSTITUTE(SUBSTITUTE(Releases!G7,"[",""),"]",""),CHAR(34),""),",",REPT(" ",256)),(26-1)*256+1,256)))</f>
        <v/>
      </c>
      <c r="D27" s="1">
        <f>IF(C27="",0,COUNTIFS('Record Revisions'!$C$7:$C$1200,C27))</f>
        <v>0</v>
      </c>
      <c r="E27" s="1">
        <f>IF(C27="",0,COUNTIFS(Dependencies!$E$7:$E$1200,C27,Dependencies!$I$7:$I$1200,"&lt;&gt;CURRENT"))</f>
        <v>0</v>
      </c>
      <c r="F27" s="1" t="str">
        <f>IF(A27="","",TRIM(MID(SUBSTITUTE(SUBSTITUTE(SUBSTITUTE(SUBSTITUTE(Releases!I7,"[",""),"]",""),CHAR(34),""),",",REPT(" ",256)),(26-1)*256+1,256)))</f>
        <v/>
      </c>
      <c r="G27" s="1">
        <f>IF(F27="",0,IF(COUNTIFS(Checks!$C$7:$C$1200,F27)&lt;&gt;1,0,COUNTIFS(Checks!$C$7:$C$1200,F27,Checks!$H$7:$H$1200,"PASS")+COUNTIFS(Checks!$C$7:$C$1200,F27,Checks!$H$7:$H$1200,"NOT APPLICABLE",Checks!$J$7:$J$1200,"&lt;&gt;")))</f>
        <v>0</v>
      </c>
      <c r="H27" s="1">
        <f>IF(OR(F27="",COUNTIFS(Checks!$C$7:$C$1200,F27)&lt;&gt;1),0,IF(ISNUMBER(SEARCH(CHAR(34)&amp;INDEX(Checks!$D$7:$D$1200,MATCH(F27,Checks!$C$7:$C$1200,0))&amp;CHAR(34),Releases!G7)),1,0))</f>
        <v>0</v>
      </c>
    </row>
    <row r="28" spans="1:8" ht="38.1" customHeight="1" x14ac:dyDescent="0.2">
      <c r="A28" s="1" t="str">
        <f>IF(Releases!C7="","",Releases!C7)</f>
        <v>REL-EFX</v>
      </c>
      <c r="B28" s="1">
        <v>27</v>
      </c>
      <c r="C28" s="1" t="str">
        <f>IF(A28="","",TRIM(MID(SUBSTITUTE(SUBSTITUTE(SUBSTITUTE(SUBSTITUTE(Releases!G7,"[",""),"]",""),CHAR(34),""),",",REPT(" ",256)),(27-1)*256+1,256)))</f>
        <v/>
      </c>
      <c r="D28" s="1">
        <f>IF(C28="",0,COUNTIFS('Record Revisions'!$C$7:$C$1200,C28))</f>
        <v>0</v>
      </c>
      <c r="E28" s="1">
        <f>IF(C28="",0,COUNTIFS(Dependencies!$E$7:$E$1200,C28,Dependencies!$I$7:$I$1200,"&lt;&gt;CURRENT"))</f>
        <v>0</v>
      </c>
      <c r="F28" s="1" t="str">
        <f>IF(A28="","",TRIM(MID(SUBSTITUTE(SUBSTITUTE(SUBSTITUTE(SUBSTITUTE(Releases!I7,"[",""),"]",""),CHAR(34),""),",",REPT(" ",256)),(27-1)*256+1,256)))</f>
        <v/>
      </c>
      <c r="G28" s="1">
        <f>IF(F28="",0,IF(COUNTIFS(Checks!$C$7:$C$1200,F28)&lt;&gt;1,0,COUNTIFS(Checks!$C$7:$C$1200,F28,Checks!$H$7:$H$1200,"PASS")+COUNTIFS(Checks!$C$7:$C$1200,F28,Checks!$H$7:$H$1200,"NOT APPLICABLE",Checks!$J$7:$J$1200,"&lt;&gt;")))</f>
        <v>0</v>
      </c>
      <c r="H28" s="1">
        <f>IF(OR(F28="",COUNTIFS(Checks!$C$7:$C$1200,F28)&lt;&gt;1),0,IF(ISNUMBER(SEARCH(CHAR(34)&amp;INDEX(Checks!$D$7:$D$1200,MATCH(F28,Checks!$C$7:$C$1200,0))&amp;CHAR(34),Releases!G7)),1,0))</f>
        <v>0</v>
      </c>
    </row>
    <row r="29" spans="1:8" ht="38.1" customHeight="1" x14ac:dyDescent="0.2">
      <c r="A29" s="1" t="str">
        <f>IF(Releases!C7="","",Releases!C7)</f>
        <v>REL-EFX</v>
      </c>
      <c r="B29" s="1">
        <v>28</v>
      </c>
      <c r="C29" s="1" t="str">
        <f>IF(A29="","",TRIM(MID(SUBSTITUTE(SUBSTITUTE(SUBSTITUTE(SUBSTITUTE(Releases!G7,"[",""),"]",""),CHAR(34),""),",",REPT(" ",256)),(28-1)*256+1,256)))</f>
        <v/>
      </c>
      <c r="D29" s="1">
        <f>IF(C29="",0,COUNTIFS('Record Revisions'!$C$7:$C$1200,C29))</f>
        <v>0</v>
      </c>
      <c r="E29" s="1">
        <f>IF(C29="",0,COUNTIFS(Dependencies!$E$7:$E$1200,C29,Dependencies!$I$7:$I$1200,"&lt;&gt;CURRENT"))</f>
        <v>0</v>
      </c>
      <c r="F29" s="1" t="str">
        <f>IF(A29="","",TRIM(MID(SUBSTITUTE(SUBSTITUTE(SUBSTITUTE(SUBSTITUTE(Releases!I7,"[",""),"]",""),CHAR(34),""),",",REPT(" ",256)),(28-1)*256+1,256)))</f>
        <v/>
      </c>
      <c r="G29" s="1">
        <f>IF(F29="",0,IF(COUNTIFS(Checks!$C$7:$C$1200,F29)&lt;&gt;1,0,COUNTIFS(Checks!$C$7:$C$1200,F29,Checks!$H$7:$H$1200,"PASS")+COUNTIFS(Checks!$C$7:$C$1200,F29,Checks!$H$7:$H$1200,"NOT APPLICABLE",Checks!$J$7:$J$1200,"&lt;&gt;")))</f>
        <v>0</v>
      </c>
      <c r="H29" s="1">
        <f>IF(OR(F29="",COUNTIFS(Checks!$C$7:$C$1200,F29)&lt;&gt;1),0,IF(ISNUMBER(SEARCH(CHAR(34)&amp;INDEX(Checks!$D$7:$D$1200,MATCH(F29,Checks!$C$7:$C$1200,0))&amp;CHAR(34),Releases!G7)),1,0))</f>
        <v>0</v>
      </c>
    </row>
    <row r="30" spans="1:8" ht="38.1" customHeight="1" x14ac:dyDescent="0.2">
      <c r="A30" s="1" t="str">
        <f>IF(Releases!C7="","",Releases!C7)</f>
        <v>REL-EFX</v>
      </c>
      <c r="B30" s="1">
        <v>29</v>
      </c>
      <c r="C30" s="1" t="str">
        <f>IF(A30="","",TRIM(MID(SUBSTITUTE(SUBSTITUTE(SUBSTITUTE(SUBSTITUTE(Releases!G7,"[",""),"]",""),CHAR(34),""),",",REPT(" ",256)),(29-1)*256+1,256)))</f>
        <v/>
      </c>
      <c r="D30" s="1">
        <f>IF(C30="",0,COUNTIFS('Record Revisions'!$C$7:$C$1200,C30))</f>
        <v>0</v>
      </c>
      <c r="E30" s="1">
        <f>IF(C30="",0,COUNTIFS(Dependencies!$E$7:$E$1200,C30,Dependencies!$I$7:$I$1200,"&lt;&gt;CURRENT"))</f>
        <v>0</v>
      </c>
      <c r="F30" s="1" t="str">
        <f>IF(A30="","",TRIM(MID(SUBSTITUTE(SUBSTITUTE(SUBSTITUTE(SUBSTITUTE(Releases!I7,"[",""),"]",""),CHAR(34),""),",",REPT(" ",256)),(29-1)*256+1,256)))</f>
        <v/>
      </c>
      <c r="G30" s="1">
        <f>IF(F30="",0,IF(COUNTIFS(Checks!$C$7:$C$1200,F30)&lt;&gt;1,0,COUNTIFS(Checks!$C$7:$C$1200,F30,Checks!$H$7:$H$1200,"PASS")+COUNTIFS(Checks!$C$7:$C$1200,F30,Checks!$H$7:$H$1200,"NOT APPLICABLE",Checks!$J$7:$J$1200,"&lt;&gt;")))</f>
        <v>0</v>
      </c>
      <c r="H30" s="1">
        <f>IF(OR(F30="",COUNTIFS(Checks!$C$7:$C$1200,F30)&lt;&gt;1),0,IF(ISNUMBER(SEARCH(CHAR(34)&amp;INDEX(Checks!$D$7:$D$1200,MATCH(F30,Checks!$C$7:$C$1200,0))&amp;CHAR(34),Releases!G7)),1,0))</f>
        <v>0</v>
      </c>
    </row>
    <row r="31" spans="1:8" ht="38.1" customHeight="1" x14ac:dyDescent="0.2">
      <c r="A31" s="1" t="str">
        <f>IF(Releases!C7="","",Releases!C7)</f>
        <v>REL-EFX</v>
      </c>
      <c r="B31" s="1">
        <v>30</v>
      </c>
      <c r="C31" s="1" t="str">
        <f>IF(A31="","",TRIM(MID(SUBSTITUTE(SUBSTITUTE(SUBSTITUTE(SUBSTITUTE(Releases!G7,"[",""),"]",""),CHAR(34),""),",",REPT(" ",256)),(30-1)*256+1,256)))</f>
        <v/>
      </c>
      <c r="D31" s="1">
        <f>IF(C31="",0,COUNTIFS('Record Revisions'!$C$7:$C$1200,C31))</f>
        <v>0</v>
      </c>
      <c r="E31" s="1">
        <f>IF(C31="",0,COUNTIFS(Dependencies!$E$7:$E$1200,C31,Dependencies!$I$7:$I$1200,"&lt;&gt;CURRENT"))</f>
        <v>0</v>
      </c>
      <c r="F31" s="1" t="str">
        <f>IF(A31="","",TRIM(MID(SUBSTITUTE(SUBSTITUTE(SUBSTITUTE(SUBSTITUTE(Releases!I7,"[",""),"]",""),CHAR(34),""),",",REPT(" ",256)),(30-1)*256+1,256)))</f>
        <v/>
      </c>
      <c r="G31" s="1">
        <f>IF(F31="",0,IF(COUNTIFS(Checks!$C$7:$C$1200,F31)&lt;&gt;1,0,COUNTIFS(Checks!$C$7:$C$1200,F31,Checks!$H$7:$H$1200,"PASS")+COUNTIFS(Checks!$C$7:$C$1200,F31,Checks!$H$7:$H$1200,"NOT APPLICABLE",Checks!$J$7:$J$1200,"&lt;&gt;")))</f>
        <v>0</v>
      </c>
      <c r="H31" s="1">
        <f>IF(OR(F31="",COUNTIFS(Checks!$C$7:$C$1200,F31)&lt;&gt;1),0,IF(ISNUMBER(SEARCH(CHAR(34)&amp;INDEX(Checks!$D$7:$D$1200,MATCH(F31,Checks!$C$7:$C$1200,0))&amp;CHAR(34),Releases!G7)),1,0))</f>
        <v>0</v>
      </c>
    </row>
    <row r="32" spans="1:8" ht="38.1" customHeight="1" x14ac:dyDescent="0.2">
      <c r="A32" s="1" t="str">
        <f>IF(Releases!C7="","",Releases!C7)</f>
        <v>REL-EFX</v>
      </c>
      <c r="B32" s="1">
        <v>31</v>
      </c>
      <c r="C32" s="1" t="str">
        <f>IF(A32="","",TRIM(MID(SUBSTITUTE(SUBSTITUTE(SUBSTITUTE(SUBSTITUTE(Releases!G7,"[",""),"]",""),CHAR(34),""),",",REPT(" ",256)),(31-1)*256+1,256)))</f>
        <v/>
      </c>
      <c r="D32" s="1">
        <f>IF(C32="",0,COUNTIFS('Record Revisions'!$C$7:$C$1200,C32))</f>
        <v>0</v>
      </c>
      <c r="E32" s="1">
        <f>IF(C32="",0,COUNTIFS(Dependencies!$E$7:$E$1200,C32,Dependencies!$I$7:$I$1200,"&lt;&gt;CURRENT"))</f>
        <v>0</v>
      </c>
      <c r="F32" s="1" t="str">
        <f>IF(A32="","",TRIM(MID(SUBSTITUTE(SUBSTITUTE(SUBSTITUTE(SUBSTITUTE(Releases!I7,"[",""),"]",""),CHAR(34),""),",",REPT(" ",256)),(31-1)*256+1,256)))</f>
        <v/>
      </c>
      <c r="G32" s="1">
        <f>IF(F32="",0,IF(COUNTIFS(Checks!$C$7:$C$1200,F32)&lt;&gt;1,0,COUNTIFS(Checks!$C$7:$C$1200,F32,Checks!$H$7:$H$1200,"PASS")+COUNTIFS(Checks!$C$7:$C$1200,F32,Checks!$H$7:$H$1200,"NOT APPLICABLE",Checks!$J$7:$J$1200,"&lt;&gt;")))</f>
        <v>0</v>
      </c>
      <c r="H32" s="1">
        <f>IF(OR(F32="",COUNTIFS(Checks!$C$7:$C$1200,F32)&lt;&gt;1),0,IF(ISNUMBER(SEARCH(CHAR(34)&amp;INDEX(Checks!$D$7:$D$1200,MATCH(F32,Checks!$C$7:$C$1200,0))&amp;CHAR(34),Releases!G7)),1,0))</f>
        <v>0</v>
      </c>
    </row>
    <row r="33" spans="1:8" ht="38.1" customHeight="1" x14ac:dyDescent="0.2">
      <c r="A33" s="1" t="str">
        <f>IF(Releases!C7="","",Releases!C7)</f>
        <v>REL-EFX</v>
      </c>
      <c r="B33" s="1">
        <v>32</v>
      </c>
      <c r="C33" s="1" t="str">
        <f>IF(A33="","",TRIM(MID(SUBSTITUTE(SUBSTITUTE(SUBSTITUTE(SUBSTITUTE(Releases!G7,"[",""),"]",""),CHAR(34),""),",",REPT(" ",256)),(32-1)*256+1,256)))</f>
        <v/>
      </c>
      <c r="D33" s="1">
        <f>IF(C33="",0,COUNTIFS('Record Revisions'!$C$7:$C$1200,C33))</f>
        <v>0</v>
      </c>
      <c r="E33" s="1">
        <f>IF(C33="",0,COUNTIFS(Dependencies!$E$7:$E$1200,C33,Dependencies!$I$7:$I$1200,"&lt;&gt;CURRENT"))</f>
        <v>0</v>
      </c>
      <c r="F33" s="1" t="str">
        <f>IF(A33="","",TRIM(MID(SUBSTITUTE(SUBSTITUTE(SUBSTITUTE(SUBSTITUTE(Releases!I7,"[",""),"]",""),CHAR(34),""),",",REPT(" ",256)),(32-1)*256+1,256)))</f>
        <v/>
      </c>
      <c r="G33" s="1">
        <f>IF(F33="",0,IF(COUNTIFS(Checks!$C$7:$C$1200,F33)&lt;&gt;1,0,COUNTIFS(Checks!$C$7:$C$1200,F33,Checks!$H$7:$H$1200,"PASS")+COUNTIFS(Checks!$C$7:$C$1200,F33,Checks!$H$7:$H$1200,"NOT APPLICABLE",Checks!$J$7:$J$1200,"&lt;&gt;")))</f>
        <v>0</v>
      </c>
      <c r="H33" s="1">
        <f>IF(OR(F33="",COUNTIFS(Checks!$C$7:$C$1200,F33)&lt;&gt;1),0,IF(ISNUMBER(SEARCH(CHAR(34)&amp;INDEX(Checks!$D$7:$D$1200,MATCH(F33,Checks!$C$7:$C$1200,0))&amp;CHAR(34),Releases!G7)),1,0))</f>
        <v>0</v>
      </c>
    </row>
    <row r="34" spans="1:8" ht="38.1" customHeight="1" x14ac:dyDescent="0.2">
      <c r="A34" s="1" t="str">
        <f>IF(Releases!C8="","",Releases!C8)</f>
        <v>OG-RELEASE-P8</v>
      </c>
      <c r="B34" s="1">
        <v>1</v>
      </c>
      <c r="C34" s="1" t="str">
        <f>IF(A34="","",TRIM(MID(SUBSTITUTE(SUBSTITUTE(SUBSTITUTE(SUBSTITUTE(Releases!G8,"[",""),"]",""),CHAR(34),""),",",REPT(" ",256)),(1-1)*256+1,256)))</f>
        <v>R-OG-P7-DOC</v>
      </c>
      <c r="D34" s="1">
        <f>IF(C34="",0,COUNTIFS('Record Revisions'!$C$7:$C$1200,C34))</f>
        <v>1</v>
      </c>
      <c r="E34" s="1">
        <f>IF(C34="",0,COUNTIFS(Dependencies!$E$7:$E$1200,C34,Dependencies!$I$7:$I$1200,"&lt;&gt;CURRENT"))</f>
        <v>0</v>
      </c>
      <c r="F34" s="1" t="str">
        <f>IF(A34="","",TRIM(MID(SUBSTITUTE(SUBSTITUTE(SUBSTITUTE(SUBSTITUTE(Releases!I8,"[",""),"]",""),CHAR(34),""),",",REPT(" ",256)),(1-1)*256+1,256)))</f>
        <v>OG-P8-CONTENT</v>
      </c>
      <c r="G34" s="1">
        <f>IF(F34="",0,IF(COUNTIFS(Checks!$C$7:$C$1200,F34)&lt;&gt;1,0,COUNTIFS(Checks!$C$7:$C$1200,F34,Checks!$H$7:$H$1200,"PASS")+COUNTIFS(Checks!$C$7:$C$1200,F34,Checks!$H$7:$H$1200,"NOT APPLICABLE",Checks!$J$7:$J$1200,"&lt;&gt;")))</f>
        <v>1</v>
      </c>
      <c r="H34" s="1">
        <f>IF(OR(F34="",COUNTIFS(Checks!$C$7:$C$1200,F34)&lt;&gt;1),0,IF(ISNUMBER(SEARCH(CHAR(34)&amp;INDEX(Checks!$D$7:$D$1200,MATCH(F34,Checks!$C$7:$C$1200,0))&amp;CHAR(34),Releases!G8)),1,0))</f>
        <v>1</v>
      </c>
    </row>
    <row r="35" spans="1:8" ht="38.1" customHeight="1" x14ac:dyDescent="0.2">
      <c r="A35" s="1" t="str">
        <f>IF(Releases!C8="","",Releases!C8)</f>
        <v>OG-RELEASE-P8</v>
      </c>
      <c r="B35" s="1">
        <v>2</v>
      </c>
      <c r="C35" s="1" t="str">
        <f>IF(A35="","",TRIM(MID(SUBSTITUTE(SUBSTITUTE(SUBSTITUTE(SUBSTITUTE(Releases!G8,"[",""),"]",""),CHAR(34),""),",",REPT(" ",256)),(2-1)*256+1,256)))</f>
        <v>R-OG-F01-OUTPUT</v>
      </c>
      <c r="D35" s="1">
        <f>IF(C35="",0,COUNTIFS('Record Revisions'!$C$7:$C$1200,C35))</f>
        <v>1</v>
      </c>
      <c r="E35" s="1">
        <f>IF(C35="",0,COUNTIFS(Dependencies!$E$7:$E$1200,C35,Dependencies!$I$7:$I$1200,"&lt;&gt;CURRENT"))</f>
        <v>0</v>
      </c>
      <c r="F35" s="1" t="str">
        <f>IF(A35="","",TRIM(MID(SUBSTITUTE(SUBSTITUTE(SUBSTITUTE(SUBSTITUTE(Releases!I8,"[",""),"]",""),CHAR(34),""),",",REPT(" ",256)),(2-1)*256+1,256)))</f>
        <v>OG-P8-ORDER</v>
      </c>
      <c r="G35" s="1">
        <f>IF(F35="",0,IF(COUNTIFS(Checks!$C$7:$C$1200,F35)&lt;&gt;1,0,COUNTIFS(Checks!$C$7:$C$1200,F35,Checks!$H$7:$H$1200,"PASS")+COUNTIFS(Checks!$C$7:$C$1200,F35,Checks!$H$7:$H$1200,"NOT APPLICABLE",Checks!$J$7:$J$1200,"&lt;&gt;")))</f>
        <v>1</v>
      </c>
      <c r="H35" s="1">
        <f>IF(OR(F35="",COUNTIFS(Checks!$C$7:$C$1200,F35)&lt;&gt;1),0,IF(ISNUMBER(SEARCH(CHAR(34)&amp;INDEX(Checks!$D$7:$D$1200,MATCH(F35,Checks!$C$7:$C$1200,0))&amp;CHAR(34),Releases!G8)),1,0))</f>
        <v>1</v>
      </c>
    </row>
    <row r="36" spans="1:8" ht="38.1" customHeight="1" x14ac:dyDescent="0.2">
      <c r="A36" s="1" t="str">
        <f>IF(Releases!C8="","",Releases!C8)</f>
        <v>OG-RELEASE-P8</v>
      </c>
      <c r="B36" s="1">
        <v>3</v>
      </c>
      <c r="C36" s="1" t="str">
        <f>IF(A36="","",TRIM(MID(SUBSTITUTE(SUBSTITUTE(SUBSTITUTE(SUBSTITUTE(Releases!G8,"[",""),"]",""),CHAR(34),""),",",REPT(" ",256)),(3-1)*256+1,256)))</f>
        <v>R-OG-F02-OUTPUT</v>
      </c>
      <c r="D36" s="1">
        <f>IF(C36="",0,COUNTIFS('Record Revisions'!$C$7:$C$1200,C36))</f>
        <v>1</v>
      </c>
      <c r="E36" s="1">
        <f>IF(C36="",0,COUNTIFS(Dependencies!$E$7:$E$1200,C36,Dependencies!$I$7:$I$1200,"&lt;&gt;CURRENT"))</f>
        <v>0</v>
      </c>
      <c r="F36" s="1" t="str">
        <f>IF(A36="","",TRIM(MID(SUBSTITUTE(SUBSTITUTE(SUBSTITUTE(SUBSTITUTE(Releases!I8,"[",""),"]",""),CHAR(34),""),",",REPT(" ",256)),(3-1)*256+1,256)))</f>
        <v>OG-P8-FILES</v>
      </c>
      <c r="G36" s="1">
        <f>IF(F36="",0,IF(COUNTIFS(Checks!$C$7:$C$1200,F36)&lt;&gt;1,0,COUNTIFS(Checks!$C$7:$C$1200,F36,Checks!$H$7:$H$1200,"PASS")+COUNTIFS(Checks!$C$7:$C$1200,F36,Checks!$H$7:$H$1200,"NOT APPLICABLE",Checks!$J$7:$J$1200,"&lt;&gt;")))</f>
        <v>1</v>
      </c>
      <c r="H36" s="1">
        <f>IF(OR(F36="",COUNTIFS(Checks!$C$7:$C$1200,F36)&lt;&gt;1),0,IF(ISNUMBER(SEARCH(CHAR(34)&amp;INDEX(Checks!$D$7:$D$1200,MATCH(F36,Checks!$C$7:$C$1200,0))&amp;CHAR(34),Releases!G8)),1,0))</f>
        <v>1</v>
      </c>
    </row>
    <row r="37" spans="1:8" ht="38.1" customHeight="1" x14ac:dyDescent="0.2">
      <c r="A37" s="1" t="str">
        <f>IF(Releases!C8="","",Releases!C8)</f>
        <v>OG-RELEASE-P8</v>
      </c>
      <c r="B37" s="1">
        <v>4</v>
      </c>
      <c r="C37" s="1" t="str">
        <f>IF(A37="","",TRIM(MID(SUBSTITUTE(SUBSTITUTE(SUBSTITUTE(SUBSTITUTE(Releases!G8,"[",""),"]",""),CHAR(34),""),",",REPT(" ",256)),(4-1)*256+1,256)))</f>
        <v>R-OG-F03-OUTPUT</v>
      </c>
      <c r="D37" s="1">
        <f>IF(C37="",0,COUNTIFS('Record Revisions'!$C$7:$C$1200,C37))</f>
        <v>1</v>
      </c>
      <c r="E37" s="1">
        <f>IF(C37="",0,COUNTIFS(Dependencies!$E$7:$E$1200,C37,Dependencies!$I$7:$I$1200,"&lt;&gt;CURRENT"))</f>
        <v>0</v>
      </c>
      <c r="F37" s="1" t="str">
        <f>IF(A37="","",TRIM(MID(SUBSTITUTE(SUBSTITUTE(SUBSTITUTE(SUBSTITUTE(Releases!I8,"[",""),"]",""),CHAR(34),""),",",REPT(" ",256)),(4-1)*256+1,256)))</f>
        <v>OG-P8-PAGES</v>
      </c>
      <c r="G37" s="1">
        <f>IF(F37="",0,IF(COUNTIFS(Checks!$C$7:$C$1200,F37)&lt;&gt;1,0,COUNTIFS(Checks!$C$7:$C$1200,F37,Checks!$H$7:$H$1200,"PASS")+COUNTIFS(Checks!$C$7:$C$1200,F37,Checks!$H$7:$H$1200,"NOT APPLICABLE",Checks!$J$7:$J$1200,"&lt;&gt;")))</f>
        <v>1</v>
      </c>
      <c r="H37" s="1">
        <f>IF(OR(F37="",COUNTIFS(Checks!$C$7:$C$1200,F37)&lt;&gt;1),0,IF(ISNUMBER(SEARCH(CHAR(34)&amp;INDEX(Checks!$D$7:$D$1200,MATCH(F37,Checks!$C$7:$C$1200,0))&amp;CHAR(34),Releases!G8)),1,0))</f>
        <v>1</v>
      </c>
    </row>
    <row r="38" spans="1:8" ht="38.1" customHeight="1" x14ac:dyDescent="0.2">
      <c r="A38" s="1" t="str">
        <f>IF(Releases!C8="","",Releases!C8)</f>
        <v>OG-RELEASE-P8</v>
      </c>
      <c r="B38" s="1">
        <v>5</v>
      </c>
      <c r="C38" s="1" t="str">
        <f>IF(A38="","",TRIM(MID(SUBSTITUTE(SUBSTITUTE(SUBSTITUTE(SUBSTITUTE(Releases!G8,"[",""),"]",""),CHAR(34),""),",",REPT(" ",256)),(5-1)*256+1,256)))</f>
        <v>R-OG-F04-OUTPUT</v>
      </c>
      <c r="D38" s="1">
        <f>IF(C38="",0,COUNTIFS('Record Revisions'!$C$7:$C$1200,C38))</f>
        <v>1</v>
      </c>
      <c r="E38" s="1">
        <f>IF(C38="",0,COUNTIFS(Dependencies!$E$7:$E$1200,C38,Dependencies!$I$7:$I$1200,"&lt;&gt;CURRENT"))</f>
        <v>0</v>
      </c>
      <c r="F38" s="1" t="str">
        <f>IF(A38="","",TRIM(MID(SUBSTITUTE(SUBSTITUTE(SUBSTITUTE(SUBSTITUTE(Releases!I8,"[",""),"]",""),CHAR(34),""),",",REPT(" ",256)),(5-1)*256+1,256)))</f>
        <v/>
      </c>
      <c r="G38" s="1">
        <f>IF(F38="",0,IF(COUNTIFS(Checks!$C$7:$C$1200,F38)&lt;&gt;1,0,COUNTIFS(Checks!$C$7:$C$1200,F38,Checks!$H$7:$H$1200,"PASS")+COUNTIFS(Checks!$C$7:$C$1200,F38,Checks!$H$7:$H$1200,"NOT APPLICABLE",Checks!$J$7:$J$1200,"&lt;&gt;")))</f>
        <v>0</v>
      </c>
      <c r="H38" s="1">
        <f>IF(OR(F38="",COUNTIFS(Checks!$C$7:$C$1200,F38)&lt;&gt;1),0,IF(ISNUMBER(SEARCH(CHAR(34)&amp;INDEX(Checks!$D$7:$D$1200,MATCH(F38,Checks!$C$7:$C$1200,0))&amp;CHAR(34),Releases!G8)),1,0))</f>
        <v>0</v>
      </c>
    </row>
    <row r="39" spans="1:8" ht="38.1" customHeight="1" x14ac:dyDescent="0.2">
      <c r="A39" s="1" t="str">
        <f>IF(Releases!C8="","",Releases!C8)</f>
        <v>OG-RELEASE-P8</v>
      </c>
      <c r="B39" s="1">
        <v>6</v>
      </c>
      <c r="C39" s="1" t="str">
        <f>IF(A39="","",TRIM(MID(SUBSTITUTE(SUBSTITUTE(SUBSTITUTE(SUBSTITUTE(Releases!G8,"[",""),"]",""),CHAR(34),""),",",REPT(" ",256)),(6-1)*256+1,256)))</f>
        <v>R-OG-F05-OUTPUT</v>
      </c>
      <c r="D39" s="1">
        <f>IF(C39="",0,COUNTIFS('Record Revisions'!$C$7:$C$1200,C39))</f>
        <v>1</v>
      </c>
      <c r="E39" s="1">
        <f>IF(C39="",0,COUNTIFS(Dependencies!$E$7:$E$1200,C39,Dependencies!$I$7:$I$1200,"&lt;&gt;CURRENT"))</f>
        <v>0</v>
      </c>
      <c r="F39" s="1" t="str">
        <f>IF(A39="","",TRIM(MID(SUBSTITUTE(SUBSTITUTE(SUBSTITUTE(SUBSTITUTE(Releases!I8,"[",""),"]",""),CHAR(34),""),",",REPT(" ",256)),(6-1)*256+1,256)))</f>
        <v/>
      </c>
      <c r="G39" s="1">
        <f>IF(F39="",0,IF(COUNTIFS(Checks!$C$7:$C$1200,F39)&lt;&gt;1,0,COUNTIFS(Checks!$C$7:$C$1200,F39,Checks!$H$7:$H$1200,"PASS")+COUNTIFS(Checks!$C$7:$C$1200,F39,Checks!$H$7:$H$1200,"NOT APPLICABLE",Checks!$J$7:$J$1200,"&lt;&gt;")))</f>
        <v>0</v>
      </c>
      <c r="H39" s="1">
        <f>IF(OR(F39="",COUNTIFS(Checks!$C$7:$C$1200,F39)&lt;&gt;1),0,IF(ISNUMBER(SEARCH(CHAR(34)&amp;INDEX(Checks!$D$7:$D$1200,MATCH(F39,Checks!$C$7:$C$1200,0))&amp;CHAR(34),Releases!G8)),1,0))</f>
        <v>0</v>
      </c>
    </row>
    <row r="40" spans="1:8" ht="38.1" customHeight="1" x14ac:dyDescent="0.2">
      <c r="A40" s="1" t="str">
        <f>IF(Releases!C8="","",Releases!C8)</f>
        <v>OG-RELEASE-P8</v>
      </c>
      <c r="B40" s="1">
        <v>7</v>
      </c>
      <c r="C40" s="1" t="str">
        <f>IF(A40="","",TRIM(MID(SUBSTITUTE(SUBSTITUTE(SUBSTITUTE(SUBSTITUTE(Releases!G8,"[",""),"]",""),CHAR(34),""),",",REPT(" ",256)),(7-1)*256+1,256)))</f>
        <v>R-OG-F06-OUTPUT</v>
      </c>
      <c r="D40" s="1">
        <f>IF(C40="",0,COUNTIFS('Record Revisions'!$C$7:$C$1200,C40))</f>
        <v>1</v>
      </c>
      <c r="E40" s="1">
        <f>IF(C40="",0,COUNTIFS(Dependencies!$E$7:$E$1200,C40,Dependencies!$I$7:$I$1200,"&lt;&gt;CURRENT"))</f>
        <v>0</v>
      </c>
      <c r="F40" s="1" t="str">
        <f>IF(A40="","",TRIM(MID(SUBSTITUTE(SUBSTITUTE(SUBSTITUTE(SUBSTITUTE(Releases!I8,"[",""),"]",""),CHAR(34),""),",",REPT(" ",256)),(7-1)*256+1,256)))</f>
        <v/>
      </c>
      <c r="G40" s="1">
        <f>IF(F40="",0,IF(COUNTIFS(Checks!$C$7:$C$1200,F40)&lt;&gt;1,0,COUNTIFS(Checks!$C$7:$C$1200,F40,Checks!$H$7:$H$1200,"PASS")+COUNTIFS(Checks!$C$7:$C$1200,F40,Checks!$H$7:$H$1200,"NOT APPLICABLE",Checks!$J$7:$J$1200,"&lt;&gt;")))</f>
        <v>0</v>
      </c>
      <c r="H40" s="1">
        <f>IF(OR(F40="",COUNTIFS(Checks!$C$7:$C$1200,F40)&lt;&gt;1),0,IF(ISNUMBER(SEARCH(CHAR(34)&amp;INDEX(Checks!$D$7:$D$1200,MATCH(F40,Checks!$C$7:$C$1200,0))&amp;CHAR(34),Releases!G8)),1,0))</f>
        <v>0</v>
      </c>
    </row>
    <row r="41" spans="1:8" ht="38.1" customHeight="1" x14ac:dyDescent="0.2">
      <c r="A41" s="1" t="str">
        <f>IF(Releases!C8="","",Releases!C8)</f>
        <v>OG-RELEASE-P8</v>
      </c>
      <c r="B41" s="1">
        <v>8</v>
      </c>
      <c r="C41" s="1" t="str">
        <f>IF(A41="","",TRIM(MID(SUBSTITUTE(SUBSTITUTE(SUBSTITUTE(SUBSTITUTE(Releases!G8,"[",""),"]",""),CHAR(34),""),",",REPT(" ",256)),(8-1)*256+1,256)))</f>
        <v>R-OG-F07-OUTPUT</v>
      </c>
      <c r="D41" s="1">
        <f>IF(C41="",0,COUNTIFS('Record Revisions'!$C$7:$C$1200,C41))</f>
        <v>1</v>
      </c>
      <c r="E41" s="1">
        <f>IF(C41="",0,COUNTIFS(Dependencies!$E$7:$E$1200,C41,Dependencies!$I$7:$I$1200,"&lt;&gt;CURRENT"))</f>
        <v>0</v>
      </c>
      <c r="F41" s="1" t="str">
        <f>IF(A41="","",TRIM(MID(SUBSTITUTE(SUBSTITUTE(SUBSTITUTE(SUBSTITUTE(Releases!I8,"[",""),"]",""),CHAR(34),""),",",REPT(" ",256)),(8-1)*256+1,256)))</f>
        <v/>
      </c>
      <c r="G41" s="1">
        <f>IF(F41="",0,IF(COUNTIFS(Checks!$C$7:$C$1200,F41)&lt;&gt;1,0,COUNTIFS(Checks!$C$7:$C$1200,F41,Checks!$H$7:$H$1200,"PASS")+COUNTIFS(Checks!$C$7:$C$1200,F41,Checks!$H$7:$H$1200,"NOT APPLICABLE",Checks!$J$7:$J$1200,"&lt;&gt;")))</f>
        <v>0</v>
      </c>
      <c r="H41" s="1">
        <f>IF(OR(F41="",COUNTIFS(Checks!$C$7:$C$1200,F41)&lt;&gt;1),0,IF(ISNUMBER(SEARCH(CHAR(34)&amp;INDEX(Checks!$D$7:$D$1200,MATCH(F41,Checks!$C$7:$C$1200,0))&amp;CHAR(34),Releases!G8)),1,0))</f>
        <v>0</v>
      </c>
    </row>
    <row r="42" spans="1:8" ht="38.1" customHeight="1" x14ac:dyDescent="0.2">
      <c r="A42" s="1" t="str">
        <f>IF(Releases!C8="","",Releases!C8)</f>
        <v>OG-RELEASE-P8</v>
      </c>
      <c r="B42" s="1">
        <v>9</v>
      </c>
      <c r="C42" s="1" t="str">
        <f>IF(A42="","",TRIM(MID(SUBSTITUTE(SUBSTITUTE(SUBSTITUTE(SUBSTITUTE(Releases!G8,"[",""),"]",""),CHAR(34),""),",",REPT(" ",256)),(9-1)*256+1,256)))</f>
        <v/>
      </c>
      <c r="D42" s="1">
        <f>IF(C42="",0,COUNTIFS('Record Revisions'!$C$7:$C$1200,C42))</f>
        <v>0</v>
      </c>
      <c r="E42" s="1">
        <f>IF(C42="",0,COUNTIFS(Dependencies!$E$7:$E$1200,C42,Dependencies!$I$7:$I$1200,"&lt;&gt;CURRENT"))</f>
        <v>0</v>
      </c>
      <c r="F42" s="1" t="str">
        <f>IF(A42="","",TRIM(MID(SUBSTITUTE(SUBSTITUTE(SUBSTITUTE(SUBSTITUTE(Releases!I8,"[",""),"]",""),CHAR(34),""),",",REPT(" ",256)),(9-1)*256+1,256)))</f>
        <v/>
      </c>
      <c r="G42" s="1">
        <f>IF(F42="",0,IF(COUNTIFS(Checks!$C$7:$C$1200,F42)&lt;&gt;1,0,COUNTIFS(Checks!$C$7:$C$1200,F42,Checks!$H$7:$H$1200,"PASS")+COUNTIFS(Checks!$C$7:$C$1200,F42,Checks!$H$7:$H$1200,"NOT APPLICABLE",Checks!$J$7:$J$1200,"&lt;&gt;")))</f>
        <v>0</v>
      </c>
      <c r="H42" s="1">
        <f>IF(OR(F42="",COUNTIFS(Checks!$C$7:$C$1200,F42)&lt;&gt;1),0,IF(ISNUMBER(SEARCH(CHAR(34)&amp;INDEX(Checks!$D$7:$D$1200,MATCH(F42,Checks!$C$7:$C$1200,0))&amp;CHAR(34),Releases!G8)),1,0))</f>
        <v>0</v>
      </c>
    </row>
    <row r="43" spans="1:8" ht="38.1" customHeight="1" x14ac:dyDescent="0.2">
      <c r="A43" s="1" t="str">
        <f>IF(Releases!C8="","",Releases!C8)</f>
        <v>OG-RELEASE-P8</v>
      </c>
      <c r="B43" s="1">
        <v>10</v>
      </c>
      <c r="C43" s="1" t="str">
        <f>IF(A43="","",TRIM(MID(SUBSTITUTE(SUBSTITUTE(SUBSTITUTE(SUBSTITUTE(Releases!G8,"[",""),"]",""),CHAR(34),""),",",REPT(" ",256)),(10-1)*256+1,256)))</f>
        <v/>
      </c>
      <c r="D43" s="1">
        <f>IF(C43="",0,COUNTIFS('Record Revisions'!$C$7:$C$1200,C43))</f>
        <v>0</v>
      </c>
      <c r="E43" s="1">
        <f>IF(C43="",0,COUNTIFS(Dependencies!$E$7:$E$1200,C43,Dependencies!$I$7:$I$1200,"&lt;&gt;CURRENT"))</f>
        <v>0</v>
      </c>
      <c r="F43" s="1" t="str">
        <f>IF(A43="","",TRIM(MID(SUBSTITUTE(SUBSTITUTE(SUBSTITUTE(SUBSTITUTE(Releases!I8,"[",""),"]",""),CHAR(34),""),",",REPT(" ",256)),(10-1)*256+1,256)))</f>
        <v/>
      </c>
      <c r="G43" s="1">
        <f>IF(F43="",0,IF(COUNTIFS(Checks!$C$7:$C$1200,F43)&lt;&gt;1,0,COUNTIFS(Checks!$C$7:$C$1200,F43,Checks!$H$7:$H$1200,"PASS")+COUNTIFS(Checks!$C$7:$C$1200,F43,Checks!$H$7:$H$1200,"NOT APPLICABLE",Checks!$J$7:$J$1200,"&lt;&gt;")))</f>
        <v>0</v>
      </c>
      <c r="H43" s="1">
        <f>IF(OR(F43="",COUNTIFS(Checks!$C$7:$C$1200,F43)&lt;&gt;1),0,IF(ISNUMBER(SEARCH(CHAR(34)&amp;INDEX(Checks!$D$7:$D$1200,MATCH(F43,Checks!$C$7:$C$1200,0))&amp;CHAR(34),Releases!G8)),1,0))</f>
        <v>0</v>
      </c>
    </row>
    <row r="44" spans="1:8" ht="38.1" customHeight="1" x14ac:dyDescent="0.2">
      <c r="A44" s="1" t="str">
        <f>IF(Releases!C8="","",Releases!C8)</f>
        <v>OG-RELEASE-P8</v>
      </c>
      <c r="B44" s="1">
        <v>11</v>
      </c>
      <c r="C44" s="1" t="str">
        <f>IF(A44="","",TRIM(MID(SUBSTITUTE(SUBSTITUTE(SUBSTITUTE(SUBSTITUTE(Releases!G8,"[",""),"]",""),CHAR(34),""),",",REPT(" ",256)),(11-1)*256+1,256)))</f>
        <v/>
      </c>
      <c r="D44" s="1">
        <f>IF(C44="",0,COUNTIFS('Record Revisions'!$C$7:$C$1200,C44))</f>
        <v>0</v>
      </c>
      <c r="E44" s="1">
        <f>IF(C44="",0,COUNTIFS(Dependencies!$E$7:$E$1200,C44,Dependencies!$I$7:$I$1200,"&lt;&gt;CURRENT"))</f>
        <v>0</v>
      </c>
      <c r="F44" s="1" t="str">
        <f>IF(A44="","",TRIM(MID(SUBSTITUTE(SUBSTITUTE(SUBSTITUTE(SUBSTITUTE(Releases!I8,"[",""),"]",""),CHAR(34),""),",",REPT(" ",256)),(11-1)*256+1,256)))</f>
        <v/>
      </c>
      <c r="G44" s="1">
        <f>IF(F44="",0,IF(COUNTIFS(Checks!$C$7:$C$1200,F44)&lt;&gt;1,0,COUNTIFS(Checks!$C$7:$C$1200,F44,Checks!$H$7:$H$1200,"PASS")+COUNTIFS(Checks!$C$7:$C$1200,F44,Checks!$H$7:$H$1200,"NOT APPLICABLE",Checks!$J$7:$J$1200,"&lt;&gt;")))</f>
        <v>0</v>
      </c>
      <c r="H44" s="1">
        <f>IF(OR(F44="",COUNTIFS(Checks!$C$7:$C$1200,F44)&lt;&gt;1),0,IF(ISNUMBER(SEARCH(CHAR(34)&amp;INDEX(Checks!$D$7:$D$1200,MATCH(F44,Checks!$C$7:$C$1200,0))&amp;CHAR(34),Releases!G8)),1,0))</f>
        <v>0</v>
      </c>
    </row>
    <row r="45" spans="1:8" ht="38.1" customHeight="1" x14ac:dyDescent="0.2">
      <c r="A45" s="1" t="str">
        <f>IF(Releases!C8="","",Releases!C8)</f>
        <v>OG-RELEASE-P8</v>
      </c>
      <c r="B45" s="1">
        <v>12</v>
      </c>
      <c r="C45" s="1" t="str">
        <f>IF(A45="","",TRIM(MID(SUBSTITUTE(SUBSTITUTE(SUBSTITUTE(SUBSTITUTE(Releases!G8,"[",""),"]",""),CHAR(34),""),",",REPT(" ",256)),(12-1)*256+1,256)))</f>
        <v/>
      </c>
      <c r="D45" s="1">
        <f>IF(C45="",0,COUNTIFS('Record Revisions'!$C$7:$C$1200,C45))</f>
        <v>0</v>
      </c>
      <c r="E45" s="1">
        <f>IF(C45="",0,COUNTIFS(Dependencies!$E$7:$E$1200,C45,Dependencies!$I$7:$I$1200,"&lt;&gt;CURRENT"))</f>
        <v>0</v>
      </c>
      <c r="F45" s="1" t="str">
        <f>IF(A45="","",TRIM(MID(SUBSTITUTE(SUBSTITUTE(SUBSTITUTE(SUBSTITUTE(Releases!I8,"[",""),"]",""),CHAR(34),""),",",REPT(" ",256)),(12-1)*256+1,256)))</f>
        <v/>
      </c>
      <c r="G45" s="1">
        <f>IF(F45="",0,IF(COUNTIFS(Checks!$C$7:$C$1200,F45)&lt;&gt;1,0,COUNTIFS(Checks!$C$7:$C$1200,F45,Checks!$H$7:$H$1200,"PASS")+COUNTIFS(Checks!$C$7:$C$1200,F45,Checks!$H$7:$H$1200,"NOT APPLICABLE",Checks!$J$7:$J$1200,"&lt;&gt;")))</f>
        <v>0</v>
      </c>
      <c r="H45" s="1">
        <f>IF(OR(F45="",COUNTIFS(Checks!$C$7:$C$1200,F45)&lt;&gt;1),0,IF(ISNUMBER(SEARCH(CHAR(34)&amp;INDEX(Checks!$D$7:$D$1200,MATCH(F45,Checks!$C$7:$C$1200,0))&amp;CHAR(34),Releases!G8)),1,0))</f>
        <v>0</v>
      </c>
    </row>
    <row r="46" spans="1:8" ht="38.1" customHeight="1" x14ac:dyDescent="0.2">
      <c r="A46" s="1" t="str">
        <f>IF(Releases!C8="","",Releases!C8)</f>
        <v>OG-RELEASE-P8</v>
      </c>
      <c r="B46" s="1">
        <v>13</v>
      </c>
      <c r="C46" s="1" t="str">
        <f>IF(A46="","",TRIM(MID(SUBSTITUTE(SUBSTITUTE(SUBSTITUTE(SUBSTITUTE(Releases!G8,"[",""),"]",""),CHAR(34),""),",",REPT(" ",256)),(13-1)*256+1,256)))</f>
        <v/>
      </c>
      <c r="D46" s="1">
        <f>IF(C46="",0,COUNTIFS('Record Revisions'!$C$7:$C$1200,C46))</f>
        <v>0</v>
      </c>
      <c r="E46" s="1">
        <f>IF(C46="",0,COUNTIFS(Dependencies!$E$7:$E$1200,C46,Dependencies!$I$7:$I$1200,"&lt;&gt;CURRENT"))</f>
        <v>0</v>
      </c>
      <c r="F46" s="1" t="str">
        <f>IF(A46="","",TRIM(MID(SUBSTITUTE(SUBSTITUTE(SUBSTITUTE(SUBSTITUTE(Releases!I8,"[",""),"]",""),CHAR(34),""),",",REPT(" ",256)),(13-1)*256+1,256)))</f>
        <v/>
      </c>
      <c r="G46" s="1">
        <f>IF(F46="",0,IF(COUNTIFS(Checks!$C$7:$C$1200,F46)&lt;&gt;1,0,COUNTIFS(Checks!$C$7:$C$1200,F46,Checks!$H$7:$H$1200,"PASS")+COUNTIFS(Checks!$C$7:$C$1200,F46,Checks!$H$7:$H$1200,"NOT APPLICABLE",Checks!$J$7:$J$1200,"&lt;&gt;")))</f>
        <v>0</v>
      </c>
      <c r="H46" s="1">
        <f>IF(OR(F46="",COUNTIFS(Checks!$C$7:$C$1200,F46)&lt;&gt;1),0,IF(ISNUMBER(SEARCH(CHAR(34)&amp;INDEX(Checks!$D$7:$D$1200,MATCH(F46,Checks!$C$7:$C$1200,0))&amp;CHAR(34),Releases!G8)),1,0))</f>
        <v>0</v>
      </c>
    </row>
    <row r="47" spans="1:8" ht="38.1" customHeight="1" x14ac:dyDescent="0.2">
      <c r="A47" s="1" t="str">
        <f>IF(Releases!C8="","",Releases!C8)</f>
        <v>OG-RELEASE-P8</v>
      </c>
      <c r="B47" s="1">
        <v>14</v>
      </c>
      <c r="C47" s="1" t="str">
        <f>IF(A47="","",TRIM(MID(SUBSTITUTE(SUBSTITUTE(SUBSTITUTE(SUBSTITUTE(Releases!G8,"[",""),"]",""),CHAR(34),""),",",REPT(" ",256)),(14-1)*256+1,256)))</f>
        <v/>
      </c>
      <c r="D47" s="1">
        <f>IF(C47="",0,COUNTIFS('Record Revisions'!$C$7:$C$1200,C47))</f>
        <v>0</v>
      </c>
      <c r="E47" s="1">
        <f>IF(C47="",0,COUNTIFS(Dependencies!$E$7:$E$1200,C47,Dependencies!$I$7:$I$1200,"&lt;&gt;CURRENT"))</f>
        <v>0</v>
      </c>
      <c r="F47" s="1" t="str">
        <f>IF(A47="","",TRIM(MID(SUBSTITUTE(SUBSTITUTE(SUBSTITUTE(SUBSTITUTE(Releases!I8,"[",""),"]",""),CHAR(34),""),",",REPT(" ",256)),(14-1)*256+1,256)))</f>
        <v/>
      </c>
      <c r="G47" s="1">
        <f>IF(F47="",0,IF(COUNTIFS(Checks!$C$7:$C$1200,F47)&lt;&gt;1,0,COUNTIFS(Checks!$C$7:$C$1200,F47,Checks!$H$7:$H$1200,"PASS")+COUNTIFS(Checks!$C$7:$C$1200,F47,Checks!$H$7:$H$1200,"NOT APPLICABLE",Checks!$J$7:$J$1200,"&lt;&gt;")))</f>
        <v>0</v>
      </c>
      <c r="H47" s="1">
        <f>IF(OR(F47="",COUNTIFS(Checks!$C$7:$C$1200,F47)&lt;&gt;1),0,IF(ISNUMBER(SEARCH(CHAR(34)&amp;INDEX(Checks!$D$7:$D$1200,MATCH(F47,Checks!$C$7:$C$1200,0))&amp;CHAR(34),Releases!G8)),1,0))</f>
        <v>0</v>
      </c>
    </row>
    <row r="48" spans="1:8" ht="38.1" customHeight="1" x14ac:dyDescent="0.2">
      <c r="A48" s="1" t="str">
        <f>IF(Releases!C8="","",Releases!C8)</f>
        <v>OG-RELEASE-P8</v>
      </c>
      <c r="B48" s="1">
        <v>15</v>
      </c>
      <c r="C48" s="1" t="str">
        <f>IF(A48="","",TRIM(MID(SUBSTITUTE(SUBSTITUTE(SUBSTITUTE(SUBSTITUTE(Releases!G8,"[",""),"]",""),CHAR(34),""),",",REPT(" ",256)),(15-1)*256+1,256)))</f>
        <v/>
      </c>
      <c r="D48" s="1">
        <f>IF(C48="",0,COUNTIFS('Record Revisions'!$C$7:$C$1200,C48))</f>
        <v>0</v>
      </c>
      <c r="E48" s="1">
        <f>IF(C48="",0,COUNTIFS(Dependencies!$E$7:$E$1200,C48,Dependencies!$I$7:$I$1200,"&lt;&gt;CURRENT"))</f>
        <v>0</v>
      </c>
      <c r="F48" s="1" t="str">
        <f>IF(A48="","",TRIM(MID(SUBSTITUTE(SUBSTITUTE(SUBSTITUTE(SUBSTITUTE(Releases!I8,"[",""),"]",""),CHAR(34),""),",",REPT(" ",256)),(15-1)*256+1,256)))</f>
        <v/>
      </c>
      <c r="G48" s="1">
        <f>IF(F48="",0,IF(COUNTIFS(Checks!$C$7:$C$1200,F48)&lt;&gt;1,0,COUNTIFS(Checks!$C$7:$C$1200,F48,Checks!$H$7:$H$1200,"PASS")+COUNTIFS(Checks!$C$7:$C$1200,F48,Checks!$H$7:$H$1200,"NOT APPLICABLE",Checks!$J$7:$J$1200,"&lt;&gt;")))</f>
        <v>0</v>
      </c>
      <c r="H48" s="1">
        <f>IF(OR(F48="",COUNTIFS(Checks!$C$7:$C$1200,F48)&lt;&gt;1),0,IF(ISNUMBER(SEARCH(CHAR(34)&amp;INDEX(Checks!$D$7:$D$1200,MATCH(F48,Checks!$C$7:$C$1200,0))&amp;CHAR(34),Releases!G8)),1,0))</f>
        <v>0</v>
      </c>
    </row>
    <row r="49" spans="1:8" ht="38.1" customHeight="1" x14ac:dyDescent="0.2">
      <c r="A49" s="1" t="str">
        <f>IF(Releases!C8="","",Releases!C8)</f>
        <v>OG-RELEASE-P8</v>
      </c>
      <c r="B49" s="1">
        <v>16</v>
      </c>
      <c r="C49" s="1" t="str">
        <f>IF(A49="","",TRIM(MID(SUBSTITUTE(SUBSTITUTE(SUBSTITUTE(SUBSTITUTE(Releases!G8,"[",""),"]",""),CHAR(34),""),",",REPT(" ",256)),(16-1)*256+1,256)))</f>
        <v/>
      </c>
      <c r="D49" s="1">
        <f>IF(C49="",0,COUNTIFS('Record Revisions'!$C$7:$C$1200,C49))</f>
        <v>0</v>
      </c>
      <c r="E49" s="1">
        <f>IF(C49="",0,COUNTIFS(Dependencies!$E$7:$E$1200,C49,Dependencies!$I$7:$I$1200,"&lt;&gt;CURRENT"))</f>
        <v>0</v>
      </c>
      <c r="F49" s="1" t="str">
        <f>IF(A49="","",TRIM(MID(SUBSTITUTE(SUBSTITUTE(SUBSTITUTE(SUBSTITUTE(Releases!I8,"[",""),"]",""),CHAR(34),""),",",REPT(" ",256)),(16-1)*256+1,256)))</f>
        <v/>
      </c>
      <c r="G49" s="1">
        <f>IF(F49="",0,IF(COUNTIFS(Checks!$C$7:$C$1200,F49)&lt;&gt;1,0,COUNTIFS(Checks!$C$7:$C$1200,F49,Checks!$H$7:$H$1200,"PASS")+COUNTIFS(Checks!$C$7:$C$1200,F49,Checks!$H$7:$H$1200,"NOT APPLICABLE",Checks!$J$7:$J$1200,"&lt;&gt;")))</f>
        <v>0</v>
      </c>
      <c r="H49" s="1">
        <f>IF(OR(F49="",COUNTIFS(Checks!$C$7:$C$1200,F49)&lt;&gt;1),0,IF(ISNUMBER(SEARCH(CHAR(34)&amp;INDEX(Checks!$D$7:$D$1200,MATCH(F49,Checks!$C$7:$C$1200,0))&amp;CHAR(34),Releases!G8)),1,0))</f>
        <v>0</v>
      </c>
    </row>
    <row r="50" spans="1:8" ht="38.1" customHeight="1" x14ac:dyDescent="0.2">
      <c r="A50" s="1" t="str">
        <f>IF(Releases!C8="","",Releases!C8)</f>
        <v>OG-RELEASE-P8</v>
      </c>
      <c r="B50" s="1">
        <v>17</v>
      </c>
      <c r="C50" s="1" t="str">
        <f>IF(A50="","",TRIM(MID(SUBSTITUTE(SUBSTITUTE(SUBSTITUTE(SUBSTITUTE(Releases!G8,"[",""),"]",""),CHAR(34),""),",",REPT(" ",256)),(17-1)*256+1,256)))</f>
        <v/>
      </c>
      <c r="D50" s="1">
        <f>IF(C50="",0,COUNTIFS('Record Revisions'!$C$7:$C$1200,C50))</f>
        <v>0</v>
      </c>
      <c r="E50" s="1">
        <f>IF(C50="",0,COUNTIFS(Dependencies!$E$7:$E$1200,C50,Dependencies!$I$7:$I$1200,"&lt;&gt;CURRENT"))</f>
        <v>0</v>
      </c>
      <c r="F50" s="1" t="str">
        <f>IF(A50="","",TRIM(MID(SUBSTITUTE(SUBSTITUTE(SUBSTITUTE(SUBSTITUTE(Releases!I8,"[",""),"]",""),CHAR(34),""),",",REPT(" ",256)),(17-1)*256+1,256)))</f>
        <v/>
      </c>
      <c r="G50" s="1">
        <f>IF(F50="",0,IF(COUNTIFS(Checks!$C$7:$C$1200,F50)&lt;&gt;1,0,COUNTIFS(Checks!$C$7:$C$1200,F50,Checks!$H$7:$H$1200,"PASS")+COUNTIFS(Checks!$C$7:$C$1200,F50,Checks!$H$7:$H$1200,"NOT APPLICABLE",Checks!$J$7:$J$1200,"&lt;&gt;")))</f>
        <v>0</v>
      </c>
      <c r="H50" s="1">
        <f>IF(OR(F50="",COUNTIFS(Checks!$C$7:$C$1200,F50)&lt;&gt;1),0,IF(ISNUMBER(SEARCH(CHAR(34)&amp;INDEX(Checks!$D$7:$D$1200,MATCH(F50,Checks!$C$7:$C$1200,0))&amp;CHAR(34),Releases!G8)),1,0))</f>
        <v>0</v>
      </c>
    </row>
    <row r="51" spans="1:8" ht="38.1" customHeight="1" x14ac:dyDescent="0.2">
      <c r="A51" s="1" t="str">
        <f>IF(Releases!C8="","",Releases!C8)</f>
        <v>OG-RELEASE-P8</v>
      </c>
      <c r="B51" s="1">
        <v>18</v>
      </c>
      <c r="C51" s="1" t="str">
        <f>IF(A51="","",TRIM(MID(SUBSTITUTE(SUBSTITUTE(SUBSTITUTE(SUBSTITUTE(Releases!G8,"[",""),"]",""),CHAR(34),""),",",REPT(" ",256)),(18-1)*256+1,256)))</f>
        <v/>
      </c>
      <c r="D51" s="1">
        <f>IF(C51="",0,COUNTIFS('Record Revisions'!$C$7:$C$1200,C51))</f>
        <v>0</v>
      </c>
      <c r="E51" s="1">
        <f>IF(C51="",0,COUNTIFS(Dependencies!$E$7:$E$1200,C51,Dependencies!$I$7:$I$1200,"&lt;&gt;CURRENT"))</f>
        <v>0</v>
      </c>
      <c r="F51" s="1" t="str">
        <f>IF(A51="","",TRIM(MID(SUBSTITUTE(SUBSTITUTE(SUBSTITUTE(SUBSTITUTE(Releases!I8,"[",""),"]",""),CHAR(34),""),",",REPT(" ",256)),(18-1)*256+1,256)))</f>
        <v/>
      </c>
      <c r="G51" s="1">
        <f>IF(F51="",0,IF(COUNTIFS(Checks!$C$7:$C$1200,F51)&lt;&gt;1,0,COUNTIFS(Checks!$C$7:$C$1200,F51,Checks!$H$7:$H$1200,"PASS")+COUNTIFS(Checks!$C$7:$C$1200,F51,Checks!$H$7:$H$1200,"NOT APPLICABLE",Checks!$J$7:$J$1200,"&lt;&gt;")))</f>
        <v>0</v>
      </c>
      <c r="H51" s="1">
        <f>IF(OR(F51="",COUNTIFS(Checks!$C$7:$C$1200,F51)&lt;&gt;1),0,IF(ISNUMBER(SEARCH(CHAR(34)&amp;INDEX(Checks!$D$7:$D$1200,MATCH(F51,Checks!$C$7:$C$1200,0))&amp;CHAR(34),Releases!G8)),1,0))</f>
        <v>0</v>
      </c>
    </row>
    <row r="52" spans="1:8" ht="38.1" customHeight="1" x14ac:dyDescent="0.2">
      <c r="A52" s="1" t="str">
        <f>IF(Releases!C8="","",Releases!C8)</f>
        <v>OG-RELEASE-P8</v>
      </c>
      <c r="B52" s="1">
        <v>19</v>
      </c>
      <c r="C52" s="1" t="str">
        <f>IF(A52="","",TRIM(MID(SUBSTITUTE(SUBSTITUTE(SUBSTITUTE(SUBSTITUTE(Releases!G8,"[",""),"]",""),CHAR(34),""),",",REPT(" ",256)),(19-1)*256+1,256)))</f>
        <v/>
      </c>
      <c r="D52" s="1">
        <f>IF(C52="",0,COUNTIFS('Record Revisions'!$C$7:$C$1200,C52))</f>
        <v>0</v>
      </c>
      <c r="E52" s="1">
        <f>IF(C52="",0,COUNTIFS(Dependencies!$E$7:$E$1200,C52,Dependencies!$I$7:$I$1200,"&lt;&gt;CURRENT"))</f>
        <v>0</v>
      </c>
      <c r="F52" s="1" t="str">
        <f>IF(A52="","",TRIM(MID(SUBSTITUTE(SUBSTITUTE(SUBSTITUTE(SUBSTITUTE(Releases!I8,"[",""),"]",""),CHAR(34),""),",",REPT(" ",256)),(19-1)*256+1,256)))</f>
        <v/>
      </c>
      <c r="G52" s="1">
        <f>IF(F52="",0,IF(COUNTIFS(Checks!$C$7:$C$1200,F52)&lt;&gt;1,0,COUNTIFS(Checks!$C$7:$C$1200,F52,Checks!$H$7:$H$1200,"PASS")+COUNTIFS(Checks!$C$7:$C$1200,F52,Checks!$H$7:$H$1200,"NOT APPLICABLE",Checks!$J$7:$J$1200,"&lt;&gt;")))</f>
        <v>0</v>
      </c>
      <c r="H52" s="1">
        <f>IF(OR(F52="",COUNTIFS(Checks!$C$7:$C$1200,F52)&lt;&gt;1),0,IF(ISNUMBER(SEARCH(CHAR(34)&amp;INDEX(Checks!$D$7:$D$1200,MATCH(F52,Checks!$C$7:$C$1200,0))&amp;CHAR(34),Releases!G8)),1,0))</f>
        <v>0</v>
      </c>
    </row>
    <row r="53" spans="1:8" ht="38.1" customHeight="1" x14ac:dyDescent="0.2">
      <c r="A53" s="1" t="str">
        <f>IF(Releases!C8="","",Releases!C8)</f>
        <v>OG-RELEASE-P8</v>
      </c>
      <c r="B53" s="1">
        <v>20</v>
      </c>
      <c r="C53" s="1" t="str">
        <f>IF(A53="","",TRIM(MID(SUBSTITUTE(SUBSTITUTE(SUBSTITUTE(SUBSTITUTE(Releases!G8,"[",""),"]",""),CHAR(34),""),",",REPT(" ",256)),(20-1)*256+1,256)))</f>
        <v/>
      </c>
      <c r="D53" s="1">
        <f>IF(C53="",0,COUNTIFS('Record Revisions'!$C$7:$C$1200,C53))</f>
        <v>0</v>
      </c>
      <c r="E53" s="1">
        <f>IF(C53="",0,COUNTIFS(Dependencies!$E$7:$E$1200,C53,Dependencies!$I$7:$I$1200,"&lt;&gt;CURRENT"))</f>
        <v>0</v>
      </c>
      <c r="F53" s="1" t="str">
        <f>IF(A53="","",TRIM(MID(SUBSTITUTE(SUBSTITUTE(SUBSTITUTE(SUBSTITUTE(Releases!I8,"[",""),"]",""),CHAR(34),""),",",REPT(" ",256)),(20-1)*256+1,256)))</f>
        <v/>
      </c>
      <c r="G53" s="1">
        <f>IF(F53="",0,IF(COUNTIFS(Checks!$C$7:$C$1200,F53)&lt;&gt;1,0,COUNTIFS(Checks!$C$7:$C$1200,F53,Checks!$H$7:$H$1200,"PASS")+COUNTIFS(Checks!$C$7:$C$1200,F53,Checks!$H$7:$H$1200,"NOT APPLICABLE",Checks!$J$7:$J$1200,"&lt;&gt;")))</f>
        <v>0</v>
      </c>
      <c r="H53" s="1">
        <f>IF(OR(F53="",COUNTIFS(Checks!$C$7:$C$1200,F53)&lt;&gt;1),0,IF(ISNUMBER(SEARCH(CHAR(34)&amp;INDEX(Checks!$D$7:$D$1200,MATCH(F53,Checks!$C$7:$C$1200,0))&amp;CHAR(34),Releases!G8)),1,0))</f>
        <v>0</v>
      </c>
    </row>
    <row r="54" spans="1:8" ht="38.1" customHeight="1" x14ac:dyDescent="0.2">
      <c r="A54" s="1" t="str">
        <f>IF(Releases!C8="","",Releases!C8)</f>
        <v>OG-RELEASE-P8</v>
      </c>
      <c r="B54" s="1">
        <v>21</v>
      </c>
      <c r="C54" s="1" t="str">
        <f>IF(A54="","",TRIM(MID(SUBSTITUTE(SUBSTITUTE(SUBSTITUTE(SUBSTITUTE(Releases!G8,"[",""),"]",""),CHAR(34),""),",",REPT(" ",256)),(21-1)*256+1,256)))</f>
        <v/>
      </c>
      <c r="D54" s="1">
        <f>IF(C54="",0,COUNTIFS('Record Revisions'!$C$7:$C$1200,C54))</f>
        <v>0</v>
      </c>
      <c r="E54" s="1">
        <f>IF(C54="",0,COUNTIFS(Dependencies!$E$7:$E$1200,C54,Dependencies!$I$7:$I$1200,"&lt;&gt;CURRENT"))</f>
        <v>0</v>
      </c>
      <c r="F54" s="1" t="str">
        <f>IF(A54="","",TRIM(MID(SUBSTITUTE(SUBSTITUTE(SUBSTITUTE(SUBSTITUTE(Releases!I8,"[",""),"]",""),CHAR(34),""),",",REPT(" ",256)),(21-1)*256+1,256)))</f>
        <v/>
      </c>
      <c r="G54" s="1">
        <f>IF(F54="",0,IF(COUNTIFS(Checks!$C$7:$C$1200,F54)&lt;&gt;1,0,COUNTIFS(Checks!$C$7:$C$1200,F54,Checks!$H$7:$H$1200,"PASS")+COUNTIFS(Checks!$C$7:$C$1200,F54,Checks!$H$7:$H$1200,"NOT APPLICABLE",Checks!$J$7:$J$1200,"&lt;&gt;")))</f>
        <v>0</v>
      </c>
      <c r="H54" s="1">
        <f>IF(OR(F54="",COUNTIFS(Checks!$C$7:$C$1200,F54)&lt;&gt;1),0,IF(ISNUMBER(SEARCH(CHAR(34)&amp;INDEX(Checks!$D$7:$D$1200,MATCH(F54,Checks!$C$7:$C$1200,0))&amp;CHAR(34),Releases!G8)),1,0))</f>
        <v>0</v>
      </c>
    </row>
    <row r="55" spans="1:8" ht="38.1" customHeight="1" x14ac:dyDescent="0.2">
      <c r="A55" s="1" t="str">
        <f>IF(Releases!C8="","",Releases!C8)</f>
        <v>OG-RELEASE-P8</v>
      </c>
      <c r="B55" s="1">
        <v>22</v>
      </c>
      <c r="C55" s="1" t="str">
        <f>IF(A55="","",TRIM(MID(SUBSTITUTE(SUBSTITUTE(SUBSTITUTE(SUBSTITUTE(Releases!G8,"[",""),"]",""),CHAR(34),""),",",REPT(" ",256)),(22-1)*256+1,256)))</f>
        <v/>
      </c>
      <c r="D55" s="1">
        <f>IF(C55="",0,COUNTIFS('Record Revisions'!$C$7:$C$1200,C55))</f>
        <v>0</v>
      </c>
      <c r="E55" s="1">
        <f>IF(C55="",0,COUNTIFS(Dependencies!$E$7:$E$1200,C55,Dependencies!$I$7:$I$1200,"&lt;&gt;CURRENT"))</f>
        <v>0</v>
      </c>
      <c r="F55" s="1" t="str">
        <f>IF(A55="","",TRIM(MID(SUBSTITUTE(SUBSTITUTE(SUBSTITUTE(SUBSTITUTE(Releases!I8,"[",""),"]",""),CHAR(34),""),",",REPT(" ",256)),(22-1)*256+1,256)))</f>
        <v/>
      </c>
      <c r="G55" s="1">
        <f>IF(F55="",0,IF(COUNTIFS(Checks!$C$7:$C$1200,F55)&lt;&gt;1,0,COUNTIFS(Checks!$C$7:$C$1200,F55,Checks!$H$7:$H$1200,"PASS")+COUNTIFS(Checks!$C$7:$C$1200,F55,Checks!$H$7:$H$1200,"NOT APPLICABLE",Checks!$J$7:$J$1200,"&lt;&gt;")))</f>
        <v>0</v>
      </c>
      <c r="H55" s="1">
        <f>IF(OR(F55="",COUNTIFS(Checks!$C$7:$C$1200,F55)&lt;&gt;1),0,IF(ISNUMBER(SEARCH(CHAR(34)&amp;INDEX(Checks!$D$7:$D$1200,MATCH(F55,Checks!$C$7:$C$1200,0))&amp;CHAR(34),Releases!G8)),1,0))</f>
        <v>0</v>
      </c>
    </row>
    <row r="56" spans="1:8" ht="38.1" customHeight="1" x14ac:dyDescent="0.2">
      <c r="A56" s="1" t="str">
        <f>IF(Releases!C8="","",Releases!C8)</f>
        <v>OG-RELEASE-P8</v>
      </c>
      <c r="B56" s="1">
        <v>23</v>
      </c>
      <c r="C56" s="1" t="str">
        <f>IF(A56="","",TRIM(MID(SUBSTITUTE(SUBSTITUTE(SUBSTITUTE(SUBSTITUTE(Releases!G8,"[",""),"]",""),CHAR(34),""),",",REPT(" ",256)),(23-1)*256+1,256)))</f>
        <v/>
      </c>
      <c r="D56" s="1">
        <f>IF(C56="",0,COUNTIFS('Record Revisions'!$C$7:$C$1200,C56))</f>
        <v>0</v>
      </c>
      <c r="E56" s="1">
        <f>IF(C56="",0,COUNTIFS(Dependencies!$E$7:$E$1200,C56,Dependencies!$I$7:$I$1200,"&lt;&gt;CURRENT"))</f>
        <v>0</v>
      </c>
      <c r="F56" s="1" t="str">
        <f>IF(A56="","",TRIM(MID(SUBSTITUTE(SUBSTITUTE(SUBSTITUTE(SUBSTITUTE(Releases!I8,"[",""),"]",""),CHAR(34),""),",",REPT(" ",256)),(23-1)*256+1,256)))</f>
        <v/>
      </c>
      <c r="G56" s="1">
        <f>IF(F56="",0,IF(COUNTIFS(Checks!$C$7:$C$1200,F56)&lt;&gt;1,0,COUNTIFS(Checks!$C$7:$C$1200,F56,Checks!$H$7:$H$1200,"PASS")+COUNTIFS(Checks!$C$7:$C$1200,F56,Checks!$H$7:$H$1200,"NOT APPLICABLE",Checks!$J$7:$J$1200,"&lt;&gt;")))</f>
        <v>0</v>
      </c>
      <c r="H56" s="1">
        <f>IF(OR(F56="",COUNTIFS(Checks!$C$7:$C$1200,F56)&lt;&gt;1),0,IF(ISNUMBER(SEARCH(CHAR(34)&amp;INDEX(Checks!$D$7:$D$1200,MATCH(F56,Checks!$C$7:$C$1200,0))&amp;CHAR(34),Releases!G8)),1,0))</f>
        <v>0</v>
      </c>
    </row>
    <row r="57" spans="1:8" ht="38.1" customHeight="1" x14ac:dyDescent="0.2">
      <c r="A57" s="1" t="str">
        <f>IF(Releases!C8="","",Releases!C8)</f>
        <v>OG-RELEASE-P8</v>
      </c>
      <c r="B57" s="1">
        <v>24</v>
      </c>
      <c r="C57" s="1" t="str">
        <f>IF(A57="","",TRIM(MID(SUBSTITUTE(SUBSTITUTE(SUBSTITUTE(SUBSTITUTE(Releases!G8,"[",""),"]",""),CHAR(34),""),",",REPT(" ",256)),(24-1)*256+1,256)))</f>
        <v/>
      </c>
      <c r="D57" s="1">
        <f>IF(C57="",0,COUNTIFS('Record Revisions'!$C$7:$C$1200,C57))</f>
        <v>0</v>
      </c>
      <c r="E57" s="1">
        <f>IF(C57="",0,COUNTIFS(Dependencies!$E$7:$E$1200,C57,Dependencies!$I$7:$I$1200,"&lt;&gt;CURRENT"))</f>
        <v>0</v>
      </c>
      <c r="F57" s="1" t="str">
        <f>IF(A57="","",TRIM(MID(SUBSTITUTE(SUBSTITUTE(SUBSTITUTE(SUBSTITUTE(Releases!I8,"[",""),"]",""),CHAR(34),""),",",REPT(" ",256)),(24-1)*256+1,256)))</f>
        <v/>
      </c>
      <c r="G57" s="1">
        <f>IF(F57="",0,IF(COUNTIFS(Checks!$C$7:$C$1200,F57)&lt;&gt;1,0,COUNTIFS(Checks!$C$7:$C$1200,F57,Checks!$H$7:$H$1200,"PASS")+COUNTIFS(Checks!$C$7:$C$1200,F57,Checks!$H$7:$H$1200,"NOT APPLICABLE",Checks!$J$7:$J$1200,"&lt;&gt;")))</f>
        <v>0</v>
      </c>
      <c r="H57" s="1">
        <f>IF(OR(F57="",COUNTIFS(Checks!$C$7:$C$1200,F57)&lt;&gt;1),0,IF(ISNUMBER(SEARCH(CHAR(34)&amp;INDEX(Checks!$D$7:$D$1200,MATCH(F57,Checks!$C$7:$C$1200,0))&amp;CHAR(34),Releases!G8)),1,0))</f>
        <v>0</v>
      </c>
    </row>
    <row r="58" spans="1:8" ht="38.1" customHeight="1" x14ac:dyDescent="0.2">
      <c r="A58" s="1" t="str">
        <f>IF(Releases!C8="","",Releases!C8)</f>
        <v>OG-RELEASE-P8</v>
      </c>
      <c r="B58" s="1">
        <v>25</v>
      </c>
      <c r="C58" s="1" t="str">
        <f>IF(A58="","",TRIM(MID(SUBSTITUTE(SUBSTITUTE(SUBSTITUTE(SUBSTITUTE(Releases!G8,"[",""),"]",""),CHAR(34),""),",",REPT(" ",256)),(25-1)*256+1,256)))</f>
        <v/>
      </c>
      <c r="D58" s="1">
        <f>IF(C58="",0,COUNTIFS('Record Revisions'!$C$7:$C$1200,C58))</f>
        <v>0</v>
      </c>
      <c r="E58" s="1">
        <f>IF(C58="",0,COUNTIFS(Dependencies!$E$7:$E$1200,C58,Dependencies!$I$7:$I$1200,"&lt;&gt;CURRENT"))</f>
        <v>0</v>
      </c>
      <c r="F58" s="1" t="str">
        <f>IF(A58="","",TRIM(MID(SUBSTITUTE(SUBSTITUTE(SUBSTITUTE(SUBSTITUTE(Releases!I8,"[",""),"]",""),CHAR(34),""),",",REPT(" ",256)),(25-1)*256+1,256)))</f>
        <v/>
      </c>
      <c r="G58" s="1">
        <f>IF(F58="",0,IF(COUNTIFS(Checks!$C$7:$C$1200,F58)&lt;&gt;1,0,COUNTIFS(Checks!$C$7:$C$1200,F58,Checks!$H$7:$H$1200,"PASS")+COUNTIFS(Checks!$C$7:$C$1200,F58,Checks!$H$7:$H$1200,"NOT APPLICABLE",Checks!$J$7:$J$1200,"&lt;&gt;")))</f>
        <v>0</v>
      </c>
      <c r="H58" s="1">
        <f>IF(OR(F58="",COUNTIFS(Checks!$C$7:$C$1200,F58)&lt;&gt;1),0,IF(ISNUMBER(SEARCH(CHAR(34)&amp;INDEX(Checks!$D$7:$D$1200,MATCH(F58,Checks!$C$7:$C$1200,0))&amp;CHAR(34),Releases!G8)),1,0))</f>
        <v>0</v>
      </c>
    </row>
    <row r="59" spans="1:8" ht="38.1" customHeight="1" x14ac:dyDescent="0.2">
      <c r="A59" s="1" t="str">
        <f>IF(Releases!C8="","",Releases!C8)</f>
        <v>OG-RELEASE-P8</v>
      </c>
      <c r="B59" s="1">
        <v>26</v>
      </c>
      <c r="C59" s="1" t="str">
        <f>IF(A59="","",TRIM(MID(SUBSTITUTE(SUBSTITUTE(SUBSTITUTE(SUBSTITUTE(Releases!G8,"[",""),"]",""),CHAR(34),""),",",REPT(" ",256)),(26-1)*256+1,256)))</f>
        <v/>
      </c>
      <c r="D59" s="1">
        <f>IF(C59="",0,COUNTIFS('Record Revisions'!$C$7:$C$1200,C59))</f>
        <v>0</v>
      </c>
      <c r="E59" s="1">
        <f>IF(C59="",0,COUNTIFS(Dependencies!$E$7:$E$1200,C59,Dependencies!$I$7:$I$1200,"&lt;&gt;CURRENT"))</f>
        <v>0</v>
      </c>
      <c r="F59" s="1" t="str">
        <f>IF(A59="","",TRIM(MID(SUBSTITUTE(SUBSTITUTE(SUBSTITUTE(SUBSTITUTE(Releases!I8,"[",""),"]",""),CHAR(34),""),",",REPT(" ",256)),(26-1)*256+1,256)))</f>
        <v/>
      </c>
      <c r="G59" s="1">
        <f>IF(F59="",0,IF(COUNTIFS(Checks!$C$7:$C$1200,F59)&lt;&gt;1,0,COUNTIFS(Checks!$C$7:$C$1200,F59,Checks!$H$7:$H$1200,"PASS")+COUNTIFS(Checks!$C$7:$C$1200,F59,Checks!$H$7:$H$1200,"NOT APPLICABLE",Checks!$J$7:$J$1200,"&lt;&gt;")))</f>
        <v>0</v>
      </c>
      <c r="H59" s="1">
        <f>IF(OR(F59="",COUNTIFS(Checks!$C$7:$C$1200,F59)&lt;&gt;1),0,IF(ISNUMBER(SEARCH(CHAR(34)&amp;INDEX(Checks!$D$7:$D$1200,MATCH(F59,Checks!$C$7:$C$1200,0))&amp;CHAR(34),Releases!G8)),1,0))</f>
        <v>0</v>
      </c>
    </row>
    <row r="60" spans="1:8" ht="38.1" customHeight="1" x14ac:dyDescent="0.2">
      <c r="A60" s="1" t="str">
        <f>IF(Releases!C8="","",Releases!C8)</f>
        <v>OG-RELEASE-P8</v>
      </c>
      <c r="B60" s="1">
        <v>27</v>
      </c>
      <c r="C60" s="1" t="str">
        <f>IF(A60="","",TRIM(MID(SUBSTITUTE(SUBSTITUTE(SUBSTITUTE(SUBSTITUTE(Releases!G8,"[",""),"]",""),CHAR(34),""),",",REPT(" ",256)),(27-1)*256+1,256)))</f>
        <v/>
      </c>
      <c r="D60" s="1">
        <f>IF(C60="",0,COUNTIFS('Record Revisions'!$C$7:$C$1200,C60))</f>
        <v>0</v>
      </c>
      <c r="E60" s="1">
        <f>IF(C60="",0,COUNTIFS(Dependencies!$E$7:$E$1200,C60,Dependencies!$I$7:$I$1200,"&lt;&gt;CURRENT"))</f>
        <v>0</v>
      </c>
      <c r="F60" s="1" t="str">
        <f>IF(A60="","",TRIM(MID(SUBSTITUTE(SUBSTITUTE(SUBSTITUTE(SUBSTITUTE(Releases!I8,"[",""),"]",""),CHAR(34),""),",",REPT(" ",256)),(27-1)*256+1,256)))</f>
        <v/>
      </c>
      <c r="G60" s="1">
        <f>IF(F60="",0,IF(COUNTIFS(Checks!$C$7:$C$1200,F60)&lt;&gt;1,0,COUNTIFS(Checks!$C$7:$C$1200,F60,Checks!$H$7:$H$1200,"PASS")+COUNTIFS(Checks!$C$7:$C$1200,F60,Checks!$H$7:$H$1200,"NOT APPLICABLE",Checks!$J$7:$J$1200,"&lt;&gt;")))</f>
        <v>0</v>
      </c>
      <c r="H60" s="1">
        <f>IF(OR(F60="",COUNTIFS(Checks!$C$7:$C$1200,F60)&lt;&gt;1),0,IF(ISNUMBER(SEARCH(CHAR(34)&amp;INDEX(Checks!$D$7:$D$1200,MATCH(F60,Checks!$C$7:$C$1200,0))&amp;CHAR(34),Releases!G8)),1,0))</f>
        <v>0</v>
      </c>
    </row>
    <row r="61" spans="1:8" ht="38.1" customHeight="1" x14ac:dyDescent="0.2">
      <c r="A61" s="1" t="str">
        <f>IF(Releases!C8="","",Releases!C8)</f>
        <v>OG-RELEASE-P8</v>
      </c>
      <c r="B61" s="1">
        <v>28</v>
      </c>
      <c r="C61" s="1" t="str">
        <f>IF(A61="","",TRIM(MID(SUBSTITUTE(SUBSTITUTE(SUBSTITUTE(SUBSTITUTE(Releases!G8,"[",""),"]",""),CHAR(34),""),",",REPT(" ",256)),(28-1)*256+1,256)))</f>
        <v/>
      </c>
      <c r="D61" s="1">
        <f>IF(C61="",0,COUNTIFS('Record Revisions'!$C$7:$C$1200,C61))</f>
        <v>0</v>
      </c>
      <c r="E61" s="1">
        <f>IF(C61="",0,COUNTIFS(Dependencies!$E$7:$E$1200,C61,Dependencies!$I$7:$I$1200,"&lt;&gt;CURRENT"))</f>
        <v>0</v>
      </c>
      <c r="F61" s="1" t="str">
        <f>IF(A61="","",TRIM(MID(SUBSTITUTE(SUBSTITUTE(SUBSTITUTE(SUBSTITUTE(Releases!I8,"[",""),"]",""),CHAR(34),""),",",REPT(" ",256)),(28-1)*256+1,256)))</f>
        <v/>
      </c>
      <c r="G61" s="1">
        <f>IF(F61="",0,IF(COUNTIFS(Checks!$C$7:$C$1200,F61)&lt;&gt;1,0,COUNTIFS(Checks!$C$7:$C$1200,F61,Checks!$H$7:$H$1200,"PASS")+COUNTIFS(Checks!$C$7:$C$1200,F61,Checks!$H$7:$H$1200,"NOT APPLICABLE",Checks!$J$7:$J$1200,"&lt;&gt;")))</f>
        <v>0</v>
      </c>
      <c r="H61" s="1">
        <f>IF(OR(F61="",COUNTIFS(Checks!$C$7:$C$1200,F61)&lt;&gt;1),0,IF(ISNUMBER(SEARCH(CHAR(34)&amp;INDEX(Checks!$D$7:$D$1200,MATCH(F61,Checks!$C$7:$C$1200,0))&amp;CHAR(34),Releases!G8)),1,0))</f>
        <v>0</v>
      </c>
    </row>
    <row r="62" spans="1:8" ht="38.1" customHeight="1" x14ac:dyDescent="0.2">
      <c r="A62" s="1" t="str">
        <f>IF(Releases!C8="","",Releases!C8)</f>
        <v>OG-RELEASE-P8</v>
      </c>
      <c r="B62" s="1">
        <v>29</v>
      </c>
      <c r="C62" s="1" t="str">
        <f>IF(A62="","",TRIM(MID(SUBSTITUTE(SUBSTITUTE(SUBSTITUTE(SUBSTITUTE(Releases!G8,"[",""),"]",""),CHAR(34),""),",",REPT(" ",256)),(29-1)*256+1,256)))</f>
        <v/>
      </c>
      <c r="D62" s="1">
        <f>IF(C62="",0,COUNTIFS('Record Revisions'!$C$7:$C$1200,C62))</f>
        <v>0</v>
      </c>
      <c r="E62" s="1">
        <f>IF(C62="",0,COUNTIFS(Dependencies!$E$7:$E$1200,C62,Dependencies!$I$7:$I$1200,"&lt;&gt;CURRENT"))</f>
        <v>0</v>
      </c>
      <c r="F62" s="1" t="str">
        <f>IF(A62="","",TRIM(MID(SUBSTITUTE(SUBSTITUTE(SUBSTITUTE(SUBSTITUTE(Releases!I8,"[",""),"]",""),CHAR(34),""),",",REPT(" ",256)),(29-1)*256+1,256)))</f>
        <v/>
      </c>
      <c r="G62" s="1">
        <f>IF(F62="",0,IF(COUNTIFS(Checks!$C$7:$C$1200,F62)&lt;&gt;1,0,COUNTIFS(Checks!$C$7:$C$1200,F62,Checks!$H$7:$H$1200,"PASS")+COUNTIFS(Checks!$C$7:$C$1200,F62,Checks!$H$7:$H$1200,"NOT APPLICABLE",Checks!$J$7:$J$1200,"&lt;&gt;")))</f>
        <v>0</v>
      </c>
      <c r="H62" s="1">
        <f>IF(OR(F62="",COUNTIFS(Checks!$C$7:$C$1200,F62)&lt;&gt;1),0,IF(ISNUMBER(SEARCH(CHAR(34)&amp;INDEX(Checks!$D$7:$D$1200,MATCH(F62,Checks!$C$7:$C$1200,0))&amp;CHAR(34),Releases!G8)),1,0))</f>
        <v>0</v>
      </c>
    </row>
    <row r="63" spans="1:8" ht="38.1" customHeight="1" x14ac:dyDescent="0.2">
      <c r="A63" s="1" t="str">
        <f>IF(Releases!C8="","",Releases!C8)</f>
        <v>OG-RELEASE-P8</v>
      </c>
      <c r="B63" s="1">
        <v>30</v>
      </c>
      <c r="C63" s="1" t="str">
        <f>IF(A63="","",TRIM(MID(SUBSTITUTE(SUBSTITUTE(SUBSTITUTE(SUBSTITUTE(Releases!G8,"[",""),"]",""),CHAR(34),""),",",REPT(" ",256)),(30-1)*256+1,256)))</f>
        <v/>
      </c>
      <c r="D63" s="1">
        <f>IF(C63="",0,COUNTIFS('Record Revisions'!$C$7:$C$1200,C63))</f>
        <v>0</v>
      </c>
      <c r="E63" s="1">
        <f>IF(C63="",0,COUNTIFS(Dependencies!$E$7:$E$1200,C63,Dependencies!$I$7:$I$1200,"&lt;&gt;CURRENT"))</f>
        <v>0</v>
      </c>
      <c r="F63" s="1" t="str">
        <f>IF(A63="","",TRIM(MID(SUBSTITUTE(SUBSTITUTE(SUBSTITUTE(SUBSTITUTE(Releases!I8,"[",""),"]",""),CHAR(34),""),",",REPT(" ",256)),(30-1)*256+1,256)))</f>
        <v/>
      </c>
      <c r="G63" s="1">
        <f>IF(F63="",0,IF(COUNTIFS(Checks!$C$7:$C$1200,F63)&lt;&gt;1,0,COUNTIFS(Checks!$C$7:$C$1200,F63,Checks!$H$7:$H$1200,"PASS")+COUNTIFS(Checks!$C$7:$C$1200,F63,Checks!$H$7:$H$1200,"NOT APPLICABLE",Checks!$J$7:$J$1200,"&lt;&gt;")))</f>
        <v>0</v>
      </c>
      <c r="H63" s="1">
        <f>IF(OR(F63="",COUNTIFS(Checks!$C$7:$C$1200,F63)&lt;&gt;1),0,IF(ISNUMBER(SEARCH(CHAR(34)&amp;INDEX(Checks!$D$7:$D$1200,MATCH(F63,Checks!$C$7:$C$1200,0))&amp;CHAR(34),Releases!G8)),1,0))</f>
        <v>0</v>
      </c>
    </row>
    <row r="64" spans="1:8" ht="38.1" customHeight="1" x14ac:dyDescent="0.2">
      <c r="A64" s="1" t="str">
        <f>IF(Releases!C8="","",Releases!C8)</f>
        <v>OG-RELEASE-P8</v>
      </c>
      <c r="B64" s="1">
        <v>31</v>
      </c>
      <c r="C64" s="1" t="str">
        <f>IF(A64="","",TRIM(MID(SUBSTITUTE(SUBSTITUTE(SUBSTITUTE(SUBSTITUTE(Releases!G8,"[",""),"]",""),CHAR(34),""),",",REPT(" ",256)),(31-1)*256+1,256)))</f>
        <v/>
      </c>
      <c r="D64" s="1">
        <f>IF(C64="",0,COUNTIFS('Record Revisions'!$C$7:$C$1200,C64))</f>
        <v>0</v>
      </c>
      <c r="E64" s="1">
        <f>IF(C64="",0,COUNTIFS(Dependencies!$E$7:$E$1200,C64,Dependencies!$I$7:$I$1200,"&lt;&gt;CURRENT"))</f>
        <v>0</v>
      </c>
      <c r="F64" s="1" t="str">
        <f>IF(A64="","",TRIM(MID(SUBSTITUTE(SUBSTITUTE(SUBSTITUTE(SUBSTITUTE(Releases!I8,"[",""),"]",""),CHAR(34),""),",",REPT(" ",256)),(31-1)*256+1,256)))</f>
        <v/>
      </c>
      <c r="G64" s="1">
        <f>IF(F64="",0,IF(COUNTIFS(Checks!$C$7:$C$1200,F64)&lt;&gt;1,0,COUNTIFS(Checks!$C$7:$C$1200,F64,Checks!$H$7:$H$1200,"PASS")+COUNTIFS(Checks!$C$7:$C$1200,F64,Checks!$H$7:$H$1200,"NOT APPLICABLE",Checks!$J$7:$J$1200,"&lt;&gt;")))</f>
        <v>0</v>
      </c>
      <c r="H64" s="1">
        <f>IF(OR(F64="",COUNTIFS(Checks!$C$7:$C$1200,F64)&lt;&gt;1),0,IF(ISNUMBER(SEARCH(CHAR(34)&amp;INDEX(Checks!$D$7:$D$1200,MATCH(F64,Checks!$C$7:$C$1200,0))&amp;CHAR(34),Releases!G8)),1,0))</f>
        <v>0</v>
      </c>
    </row>
    <row r="65" spans="1:8" ht="38.1" customHeight="1" x14ac:dyDescent="0.2">
      <c r="A65" s="1" t="str">
        <f>IF(Releases!C8="","",Releases!C8)</f>
        <v>OG-RELEASE-P8</v>
      </c>
      <c r="B65" s="1">
        <v>32</v>
      </c>
      <c r="C65" s="1" t="str">
        <f>IF(A65="","",TRIM(MID(SUBSTITUTE(SUBSTITUTE(SUBSTITUTE(SUBSTITUTE(Releases!G8,"[",""),"]",""),CHAR(34),""),",",REPT(" ",256)),(32-1)*256+1,256)))</f>
        <v/>
      </c>
      <c r="D65" s="1">
        <f>IF(C65="",0,COUNTIFS('Record Revisions'!$C$7:$C$1200,C65))</f>
        <v>0</v>
      </c>
      <c r="E65" s="1">
        <f>IF(C65="",0,COUNTIFS(Dependencies!$E$7:$E$1200,C65,Dependencies!$I$7:$I$1200,"&lt;&gt;CURRENT"))</f>
        <v>0</v>
      </c>
      <c r="F65" s="1" t="str">
        <f>IF(A65="","",TRIM(MID(SUBSTITUTE(SUBSTITUTE(SUBSTITUTE(SUBSTITUTE(Releases!I8,"[",""),"]",""),CHAR(34),""),",",REPT(" ",256)),(32-1)*256+1,256)))</f>
        <v/>
      </c>
      <c r="G65" s="1">
        <f>IF(F65="",0,IF(COUNTIFS(Checks!$C$7:$C$1200,F65)&lt;&gt;1,0,COUNTIFS(Checks!$C$7:$C$1200,F65,Checks!$H$7:$H$1200,"PASS")+COUNTIFS(Checks!$C$7:$C$1200,F65,Checks!$H$7:$H$1200,"NOT APPLICABLE",Checks!$J$7:$J$1200,"&lt;&gt;")))</f>
        <v>0</v>
      </c>
      <c r="H65" s="1">
        <f>IF(OR(F65="",COUNTIFS(Checks!$C$7:$C$1200,F65)&lt;&gt;1),0,IF(ISNUMBER(SEARCH(CHAR(34)&amp;INDEX(Checks!$D$7:$D$1200,MATCH(F65,Checks!$C$7:$C$1200,0))&amp;CHAR(34),Releases!G8)),1,0))</f>
        <v>0</v>
      </c>
    </row>
    <row r="66" spans="1:8" ht="38.1" customHeight="1" x14ac:dyDescent="0.2">
      <c r="A66" s="1" t="str">
        <f>IF(Releases!C9="","",Releases!C9)</f>
        <v/>
      </c>
      <c r="B66" s="1">
        <v>1</v>
      </c>
      <c r="C66" s="1" t="str">
        <f>IF(A66="","",TRIM(MID(SUBSTITUTE(SUBSTITUTE(SUBSTITUTE(SUBSTITUTE(Releases!G9,"[",""),"]",""),CHAR(34),""),",",REPT(" ",256)),(1-1)*256+1,256)))</f>
        <v/>
      </c>
      <c r="D66" s="1">
        <f>IF(C66="",0,COUNTIFS('Record Revisions'!$C$7:$C$1200,C66))</f>
        <v>0</v>
      </c>
      <c r="E66" s="1">
        <f>IF(C66="",0,COUNTIFS(Dependencies!$E$7:$E$1200,C66,Dependencies!$I$7:$I$1200,"&lt;&gt;CURRENT"))</f>
        <v>0</v>
      </c>
      <c r="F66" s="1" t="str">
        <f>IF(A66="","",TRIM(MID(SUBSTITUTE(SUBSTITUTE(SUBSTITUTE(SUBSTITUTE(Releases!I9,"[",""),"]",""),CHAR(34),""),",",REPT(" ",256)),(1-1)*256+1,256)))</f>
        <v/>
      </c>
      <c r="G66" s="1">
        <f>IF(F66="",0,IF(COUNTIFS(Checks!$C$7:$C$1200,F66)&lt;&gt;1,0,COUNTIFS(Checks!$C$7:$C$1200,F66,Checks!$H$7:$H$1200,"PASS")+COUNTIFS(Checks!$C$7:$C$1200,F66,Checks!$H$7:$H$1200,"NOT APPLICABLE",Checks!$J$7:$J$1200,"&lt;&gt;")))</f>
        <v>0</v>
      </c>
      <c r="H66" s="1">
        <f>IF(OR(F66="",COUNTIFS(Checks!$C$7:$C$1200,F66)&lt;&gt;1),0,IF(ISNUMBER(SEARCH(CHAR(34)&amp;INDEX(Checks!$D$7:$D$1200,MATCH(F66,Checks!$C$7:$C$1200,0))&amp;CHAR(34),Releases!G9)),1,0))</f>
        <v>0</v>
      </c>
    </row>
    <row r="67" spans="1:8" ht="38.1" customHeight="1" x14ac:dyDescent="0.2">
      <c r="A67" s="1" t="str">
        <f>IF(Releases!C9="","",Releases!C9)</f>
        <v/>
      </c>
      <c r="B67" s="1">
        <v>2</v>
      </c>
      <c r="C67" s="1" t="str">
        <f>IF(A67="","",TRIM(MID(SUBSTITUTE(SUBSTITUTE(SUBSTITUTE(SUBSTITUTE(Releases!G9,"[",""),"]",""),CHAR(34),""),",",REPT(" ",256)),(2-1)*256+1,256)))</f>
        <v/>
      </c>
      <c r="D67" s="1">
        <f>IF(C67="",0,COUNTIFS('Record Revisions'!$C$7:$C$1200,C67))</f>
        <v>0</v>
      </c>
      <c r="E67" s="1">
        <f>IF(C67="",0,COUNTIFS(Dependencies!$E$7:$E$1200,C67,Dependencies!$I$7:$I$1200,"&lt;&gt;CURRENT"))</f>
        <v>0</v>
      </c>
      <c r="F67" s="1" t="str">
        <f>IF(A67="","",TRIM(MID(SUBSTITUTE(SUBSTITUTE(SUBSTITUTE(SUBSTITUTE(Releases!I9,"[",""),"]",""),CHAR(34),""),",",REPT(" ",256)),(2-1)*256+1,256)))</f>
        <v/>
      </c>
      <c r="G67" s="1">
        <f>IF(F67="",0,IF(COUNTIFS(Checks!$C$7:$C$1200,F67)&lt;&gt;1,0,COUNTIFS(Checks!$C$7:$C$1200,F67,Checks!$H$7:$H$1200,"PASS")+COUNTIFS(Checks!$C$7:$C$1200,F67,Checks!$H$7:$H$1200,"NOT APPLICABLE",Checks!$J$7:$J$1200,"&lt;&gt;")))</f>
        <v>0</v>
      </c>
      <c r="H67" s="1">
        <f>IF(OR(F67="",COUNTIFS(Checks!$C$7:$C$1200,F67)&lt;&gt;1),0,IF(ISNUMBER(SEARCH(CHAR(34)&amp;INDEX(Checks!$D$7:$D$1200,MATCH(F67,Checks!$C$7:$C$1200,0))&amp;CHAR(34),Releases!G9)),1,0))</f>
        <v>0</v>
      </c>
    </row>
    <row r="68" spans="1:8" ht="38.1" customHeight="1" x14ac:dyDescent="0.2">
      <c r="A68" s="1" t="str">
        <f>IF(Releases!C9="","",Releases!C9)</f>
        <v/>
      </c>
      <c r="B68" s="1">
        <v>3</v>
      </c>
      <c r="C68" s="1" t="str">
        <f>IF(A68="","",TRIM(MID(SUBSTITUTE(SUBSTITUTE(SUBSTITUTE(SUBSTITUTE(Releases!G9,"[",""),"]",""),CHAR(34),""),",",REPT(" ",256)),(3-1)*256+1,256)))</f>
        <v/>
      </c>
      <c r="D68" s="1">
        <f>IF(C68="",0,COUNTIFS('Record Revisions'!$C$7:$C$1200,C68))</f>
        <v>0</v>
      </c>
      <c r="E68" s="1">
        <f>IF(C68="",0,COUNTIFS(Dependencies!$E$7:$E$1200,C68,Dependencies!$I$7:$I$1200,"&lt;&gt;CURRENT"))</f>
        <v>0</v>
      </c>
      <c r="F68" s="1" t="str">
        <f>IF(A68="","",TRIM(MID(SUBSTITUTE(SUBSTITUTE(SUBSTITUTE(SUBSTITUTE(Releases!I9,"[",""),"]",""),CHAR(34),""),",",REPT(" ",256)),(3-1)*256+1,256)))</f>
        <v/>
      </c>
      <c r="G68" s="1">
        <f>IF(F68="",0,IF(COUNTIFS(Checks!$C$7:$C$1200,F68)&lt;&gt;1,0,COUNTIFS(Checks!$C$7:$C$1200,F68,Checks!$H$7:$H$1200,"PASS")+COUNTIFS(Checks!$C$7:$C$1200,F68,Checks!$H$7:$H$1200,"NOT APPLICABLE",Checks!$J$7:$J$1200,"&lt;&gt;")))</f>
        <v>0</v>
      </c>
      <c r="H68" s="1">
        <f>IF(OR(F68="",COUNTIFS(Checks!$C$7:$C$1200,F68)&lt;&gt;1),0,IF(ISNUMBER(SEARCH(CHAR(34)&amp;INDEX(Checks!$D$7:$D$1200,MATCH(F68,Checks!$C$7:$C$1200,0))&amp;CHAR(34),Releases!G9)),1,0))</f>
        <v>0</v>
      </c>
    </row>
    <row r="69" spans="1:8" ht="38.1" customHeight="1" x14ac:dyDescent="0.2">
      <c r="A69" s="1" t="str">
        <f>IF(Releases!C9="","",Releases!C9)</f>
        <v/>
      </c>
      <c r="B69" s="1">
        <v>4</v>
      </c>
      <c r="C69" s="1" t="str">
        <f>IF(A69="","",TRIM(MID(SUBSTITUTE(SUBSTITUTE(SUBSTITUTE(SUBSTITUTE(Releases!G9,"[",""),"]",""),CHAR(34),""),",",REPT(" ",256)),(4-1)*256+1,256)))</f>
        <v/>
      </c>
      <c r="D69" s="1">
        <f>IF(C69="",0,COUNTIFS('Record Revisions'!$C$7:$C$1200,C69))</f>
        <v>0</v>
      </c>
      <c r="E69" s="1">
        <f>IF(C69="",0,COUNTIFS(Dependencies!$E$7:$E$1200,C69,Dependencies!$I$7:$I$1200,"&lt;&gt;CURRENT"))</f>
        <v>0</v>
      </c>
      <c r="F69" s="1" t="str">
        <f>IF(A69="","",TRIM(MID(SUBSTITUTE(SUBSTITUTE(SUBSTITUTE(SUBSTITUTE(Releases!I9,"[",""),"]",""),CHAR(34),""),",",REPT(" ",256)),(4-1)*256+1,256)))</f>
        <v/>
      </c>
      <c r="G69" s="1">
        <f>IF(F69="",0,IF(COUNTIFS(Checks!$C$7:$C$1200,F69)&lt;&gt;1,0,COUNTIFS(Checks!$C$7:$C$1200,F69,Checks!$H$7:$H$1200,"PASS")+COUNTIFS(Checks!$C$7:$C$1200,F69,Checks!$H$7:$H$1200,"NOT APPLICABLE",Checks!$J$7:$J$1200,"&lt;&gt;")))</f>
        <v>0</v>
      </c>
      <c r="H69" s="1">
        <f>IF(OR(F69="",COUNTIFS(Checks!$C$7:$C$1200,F69)&lt;&gt;1),0,IF(ISNUMBER(SEARCH(CHAR(34)&amp;INDEX(Checks!$D$7:$D$1200,MATCH(F69,Checks!$C$7:$C$1200,0))&amp;CHAR(34),Releases!G9)),1,0))</f>
        <v>0</v>
      </c>
    </row>
    <row r="70" spans="1:8" ht="38.1" customHeight="1" x14ac:dyDescent="0.2">
      <c r="A70" s="1" t="str">
        <f>IF(Releases!C9="","",Releases!C9)</f>
        <v/>
      </c>
      <c r="B70" s="1">
        <v>5</v>
      </c>
      <c r="C70" s="1" t="str">
        <f>IF(A70="","",TRIM(MID(SUBSTITUTE(SUBSTITUTE(SUBSTITUTE(SUBSTITUTE(Releases!G9,"[",""),"]",""),CHAR(34),""),",",REPT(" ",256)),(5-1)*256+1,256)))</f>
        <v/>
      </c>
      <c r="D70" s="1">
        <f>IF(C70="",0,COUNTIFS('Record Revisions'!$C$7:$C$1200,C70))</f>
        <v>0</v>
      </c>
      <c r="E70" s="1">
        <f>IF(C70="",0,COUNTIFS(Dependencies!$E$7:$E$1200,C70,Dependencies!$I$7:$I$1200,"&lt;&gt;CURRENT"))</f>
        <v>0</v>
      </c>
      <c r="F70" s="1" t="str">
        <f>IF(A70="","",TRIM(MID(SUBSTITUTE(SUBSTITUTE(SUBSTITUTE(SUBSTITUTE(Releases!I9,"[",""),"]",""),CHAR(34),""),",",REPT(" ",256)),(5-1)*256+1,256)))</f>
        <v/>
      </c>
      <c r="G70" s="1">
        <f>IF(F70="",0,IF(COUNTIFS(Checks!$C$7:$C$1200,F70)&lt;&gt;1,0,COUNTIFS(Checks!$C$7:$C$1200,F70,Checks!$H$7:$H$1200,"PASS")+COUNTIFS(Checks!$C$7:$C$1200,F70,Checks!$H$7:$H$1200,"NOT APPLICABLE",Checks!$J$7:$J$1200,"&lt;&gt;")))</f>
        <v>0</v>
      </c>
      <c r="H70" s="1">
        <f>IF(OR(F70="",COUNTIFS(Checks!$C$7:$C$1200,F70)&lt;&gt;1),0,IF(ISNUMBER(SEARCH(CHAR(34)&amp;INDEX(Checks!$D$7:$D$1200,MATCH(F70,Checks!$C$7:$C$1200,0))&amp;CHAR(34),Releases!G9)),1,0))</f>
        <v>0</v>
      </c>
    </row>
    <row r="71" spans="1:8" ht="38.1" customHeight="1" x14ac:dyDescent="0.2">
      <c r="A71" s="1" t="str">
        <f>IF(Releases!C9="","",Releases!C9)</f>
        <v/>
      </c>
      <c r="B71" s="1">
        <v>6</v>
      </c>
      <c r="C71" s="1" t="str">
        <f>IF(A71="","",TRIM(MID(SUBSTITUTE(SUBSTITUTE(SUBSTITUTE(SUBSTITUTE(Releases!G9,"[",""),"]",""),CHAR(34),""),",",REPT(" ",256)),(6-1)*256+1,256)))</f>
        <v/>
      </c>
      <c r="D71" s="1">
        <f>IF(C71="",0,COUNTIFS('Record Revisions'!$C$7:$C$1200,C71))</f>
        <v>0</v>
      </c>
      <c r="E71" s="1">
        <f>IF(C71="",0,COUNTIFS(Dependencies!$E$7:$E$1200,C71,Dependencies!$I$7:$I$1200,"&lt;&gt;CURRENT"))</f>
        <v>0</v>
      </c>
      <c r="F71" s="1" t="str">
        <f>IF(A71="","",TRIM(MID(SUBSTITUTE(SUBSTITUTE(SUBSTITUTE(SUBSTITUTE(Releases!I9,"[",""),"]",""),CHAR(34),""),",",REPT(" ",256)),(6-1)*256+1,256)))</f>
        <v/>
      </c>
      <c r="G71" s="1">
        <f>IF(F71="",0,IF(COUNTIFS(Checks!$C$7:$C$1200,F71)&lt;&gt;1,0,COUNTIFS(Checks!$C$7:$C$1200,F71,Checks!$H$7:$H$1200,"PASS")+COUNTIFS(Checks!$C$7:$C$1200,F71,Checks!$H$7:$H$1200,"NOT APPLICABLE",Checks!$J$7:$J$1200,"&lt;&gt;")))</f>
        <v>0</v>
      </c>
      <c r="H71" s="1">
        <f>IF(OR(F71="",COUNTIFS(Checks!$C$7:$C$1200,F71)&lt;&gt;1),0,IF(ISNUMBER(SEARCH(CHAR(34)&amp;INDEX(Checks!$D$7:$D$1200,MATCH(F71,Checks!$C$7:$C$1200,0))&amp;CHAR(34),Releases!G9)),1,0))</f>
        <v>0</v>
      </c>
    </row>
    <row r="72" spans="1:8" ht="38.1" customHeight="1" x14ac:dyDescent="0.2">
      <c r="A72" s="1" t="str">
        <f>IF(Releases!C9="","",Releases!C9)</f>
        <v/>
      </c>
      <c r="B72" s="1">
        <v>7</v>
      </c>
      <c r="C72" s="1" t="str">
        <f>IF(A72="","",TRIM(MID(SUBSTITUTE(SUBSTITUTE(SUBSTITUTE(SUBSTITUTE(Releases!G9,"[",""),"]",""),CHAR(34),""),",",REPT(" ",256)),(7-1)*256+1,256)))</f>
        <v/>
      </c>
      <c r="D72" s="1">
        <f>IF(C72="",0,COUNTIFS('Record Revisions'!$C$7:$C$1200,C72))</f>
        <v>0</v>
      </c>
      <c r="E72" s="1">
        <f>IF(C72="",0,COUNTIFS(Dependencies!$E$7:$E$1200,C72,Dependencies!$I$7:$I$1200,"&lt;&gt;CURRENT"))</f>
        <v>0</v>
      </c>
      <c r="F72" s="1" t="str">
        <f>IF(A72="","",TRIM(MID(SUBSTITUTE(SUBSTITUTE(SUBSTITUTE(SUBSTITUTE(Releases!I9,"[",""),"]",""),CHAR(34),""),",",REPT(" ",256)),(7-1)*256+1,256)))</f>
        <v/>
      </c>
      <c r="G72" s="1">
        <f>IF(F72="",0,IF(COUNTIFS(Checks!$C$7:$C$1200,F72)&lt;&gt;1,0,COUNTIFS(Checks!$C$7:$C$1200,F72,Checks!$H$7:$H$1200,"PASS")+COUNTIFS(Checks!$C$7:$C$1200,F72,Checks!$H$7:$H$1200,"NOT APPLICABLE",Checks!$J$7:$J$1200,"&lt;&gt;")))</f>
        <v>0</v>
      </c>
      <c r="H72" s="1">
        <f>IF(OR(F72="",COUNTIFS(Checks!$C$7:$C$1200,F72)&lt;&gt;1),0,IF(ISNUMBER(SEARCH(CHAR(34)&amp;INDEX(Checks!$D$7:$D$1200,MATCH(F72,Checks!$C$7:$C$1200,0))&amp;CHAR(34),Releases!G9)),1,0))</f>
        <v>0</v>
      </c>
    </row>
    <row r="73" spans="1:8" ht="38.1" customHeight="1" x14ac:dyDescent="0.2">
      <c r="A73" s="1" t="str">
        <f>IF(Releases!C9="","",Releases!C9)</f>
        <v/>
      </c>
      <c r="B73" s="1">
        <v>8</v>
      </c>
      <c r="C73" s="1" t="str">
        <f>IF(A73="","",TRIM(MID(SUBSTITUTE(SUBSTITUTE(SUBSTITUTE(SUBSTITUTE(Releases!G9,"[",""),"]",""),CHAR(34),""),",",REPT(" ",256)),(8-1)*256+1,256)))</f>
        <v/>
      </c>
      <c r="D73" s="1">
        <f>IF(C73="",0,COUNTIFS('Record Revisions'!$C$7:$C$1200,C73))</f>
        <v>0</v>
      </c>
      <c r="E73" s="1">
        <f>IF(C73="",0,COUNTIFS(Dependencies!$E$7:$E$1200,C73,Dependencies!$I$7:$I$1200,"&lt;&gt;CURRENT"))</f>
        <v>0</v>
      </c>
      <c r="F73" s="1" t="str">
        <f>IF(A73="","",TRIM(MID(SUBSTITUTE(SUBSTITUTE(SUBSTITUTE(SUBSTITUTE(Releases!I9,"[",""),"]",""),CHAR(34),""),",",REPT(" ",256)),(8-1)*256+1,256)))</f>
        <v/>
      </c>
      <c r="G73" s="1">
        <f>IF(F73="",0,IF(COUNTIFS(Checks!$C$7:$C$1200,F73)&lt;&gt;1,0,COUNTIFS(Checks!$C$7:$C$1200,F73,Checks!$H$7:$H$1200,"PASS")+COUNTIFS(Checks!$C$7:$C$1200,F73,Checks!$H$7:$H$1200,"NOT APPLICABLE",Checks!$J$7:$J$1200,"&lt;&gt;")))</f>
        <v>0</v>
      </c>
      <c r="H73" s="1">
        <f>IF(OR(F73="",COUNTIFS(Checks!$C$7:$C$1200,F73)&lt;&gt;1),0,IF(ISNUMBER(SEARCH(CHAR(34)&amp;INDEX(Checks!$D$7:$D$1200,MATCH(F73,Checks!$C$7:$C$1200,0))&amp;CHAR(34),Releases!G9)),1,0))</f>
        <v>0</v>
      </c>
    </row>
    <row r="74" spans="1:8" ht="38.1" customHeight="1" x14ac:dyDescent="0.2">
      <c r="A74" s="1" t="str">
        <f>IF(Releases!C9="","",Releases!C9)</f>
        <v/>
      </c>
      <c r="B74" s="1">
        <v>9</v>
      </c>
      <c r="C74" s="1" t="str">
        <f>IF(A74="","",TRIM(MID(SUBSTITUTE(SUBSTITUTE(SUBSTITUTE(SUBSTITUTE(Releases!G9,"[",""),"]",""),CHAR(34),""),",",REPT(" ",256)),(9-1)*256+1,256)))</f>
        <v/>
      </c>
      <c r="D74" s="1">
        <f>IF(C74="",0,COUNTIFS('Record Revisions'!$C$7:$C$1200,C74))</f>
        <v>0</v>
      </c>
      <c r="E74" s="1">
        <f>IF(C74="",0,COUNTIFS(Dependencies!$E$7:$E$1200,C74,Dependencies!$I$7:$I$1200,"&lt;&gt;CURRENT"))</f>
        <v>0</v>
      </c>
      <c r="F74" s="1" t="str">
        <f>IF(A74="","",TRIM(MID(SUBSTITUTE(SUBSTITUTE(SUBSTITUTE(SUBSTITUTE(Releases!I9,"[",""),"]",""),CHAR(34),""),",",REPT(" ",256)),(9-1)*256+1,256)))</f>
        <v/>
      </c>
      <c r="G74" s="1">
        <f>IF(F74="",0,IF(COUNTIFS(Checks!$C$7:$C$1200,F74)&lt;&gt;1,0,COUNTIFS(Checks!$C$7:$C$1200,F74,Checks!$H$7:$H$1200,"PASS")+COUNTIFS(Checks!$C$7:$C$1200,F74,Checks!$H$7:$H$1200,"NOT APPLICABLE",Checks!$J$7:$J$1200,"&lt;&gt;")))</f>
        <v>0</v>
      </c>
      <c r="H74" s="1">
        <f>IF(OR(F74="",COUNTIFS(Checks!$C$7:$C$1200,F74)&lt;&gt;1),0,IF(ISNUMBER(SEARCH(CHAR(34)&amp;INDEX(Checks!$D$7:$D$1200,MATCH(F74,Checks!$C$7:$C$1200,0))&amp;CHAR(34),Releases!G9)),1,0))</f>
        <v>0</v>
      </c>
    </row>
    <row r="75" spans="1:8" ht="38.1" customHeight="1" x14ac:dyDescent="0.2">
      <c r="A75" s="1" t="str">
        <f>IF(Releases!C9="","",Releases!C9)</f>
        <v/>
      </c>
      <c r="B75" s="1">
        <v>10</v>
      </c>
      <c r="C75" s="1" t="str">
        <f>IF(A75="","",TRIM(MID(SUBSTITUTE(SUBSTITUTE(SUBSTITUTE(SUBSTITUTE(Releases!G9,"[",""),"]",""),CHAR(34),""),",",REPT(" ",256)),(10-1)*256+1,256)))</f>
        <v/>
      </c>
      <c r="D75" s="1">
        <f>IF(C75="",0,COUNTIFS('Record Revisions'!$C$7:$C$1200,C75))</f>
        <v>0</v>
      </c>
      <c r="E75" s="1">
        <f>IF(C75="",0,COUNTIFS(Dependencies!$E$7:$E$1200,C75,Dependencies!$I$7:$I$1200,"&lt;&gt;CURRENT"))</f>
        <v>0</v>
      </c>
      <c r="F75" s="1" t="str">
        <f>IF(A75="","",TRIM(MID(SUBSTITUTE(SUBSTITUTE(SUBSTITUTE(SUBSTITUTE(Releases!I9,"[",""),"]",""),CHAR(34),""),",",REPT(" ",256)),(10-1)*256+1,256)))</f>
        <v/>
      </c>
      <c r="G75" s="1">
        <f>IF(F75="",0,IF(COUNTIFS(Checks!$C$7:$C$1200,F75)&lt;&gt;1,0,COUNTIFS(Checks!$C$7:$C$1200,F75,Checks!$H$7:$H$1200,"PASS")+COUNTIFS(Checks!$C$7:$C$1200,F75,Checks!$H$7:$H$1200,"NOT APPLICABLE",Checks!$J$7:$J$1200,"&lt;&gt;")))</f>
        <v>0</v>
      </c>
      <c r="H75" s="1">
        <f>IF(OR(F75="",COUNTIFS(Checks!$C$7:$C$1200,F75)&lt;&gt;1),0,IF(ISNUMBER(SEARCH(CHAR(34)&amp;INDEX(Checks!$D$7:$D$1200,MATCH(F75,Checks!$C$7:$C$1200,0))&amp;CHAR(34),Releases!G9)),1,0))</f>
        <v>0</v>
      </c>
    </row>
    <row r="76" spans="1:8" ht="38.1" customHeight="1" x14ac:dyDescent="0.2">
      <c r="A76" s="1" t="str">
        <f>IF(Releases!C9="","",Releases!C9)</f>
        <v/>
      </c>
      <c r="B76" s="1">
        <v>11</v>
      </c>
      <c r="C76" s="1" t="str">
        <f>IF(A76="","",TRIM(MID(SUBSTITUTE(SUBSTITUTE(SUBSTITUTE(SUBSTITUTE(Releases!G9,"[",""),"]",""),CHAR(34),""),",",REPT(" ",256)),(11-1)*256+1,256)))</f>
        <v/>
      </c>
      <c r="D76" s="1">
        <f>IF(C76="",0,COUNTIFS('Record Revisions'!$C$7:$C$1200,C76))</f>
        <v>0</v>
      </c>
      <c r="E76" s="1">
        <f>IF(C76="",0,COUNTIFS(Dependencies!$E$7:$E$1200,C76,Dependencies!$I$7:$I$1200,"&lt;&gt;CURRENT"))</f>
        <v>0</v>
      </c>
      <c r="F76" s="1" t="str">
        <f>IF(A76="","",TRIM(MID(SUBSTITUTE(SUBSTITUTE(SUBSTITUTE(SUBSTITUTE(Releases!I9,"[",""),"]",""),CHAR(34),""),",",REPT(" ",256)),(11-1)*256+1,256)))</f>
        <v/>
      </c>
      <c r="G76" s="1">
        <f>IF(F76="",0,IF(COUNTIFS(Checks!$C$7:$C$1200,F76)&lt;&gt;1,0,COUNTIFS(Checks!$C$7:$C$1200,F76,Checks!$H$7:$H$1200,"PASS")+COUNTIFS(Checks!$C$7:$C$1200,F76,Checks!$H$7:$H$1200,"NOT APPLICABLE",Checks!$J$7:$J$1200,"&lt;&gt;")))</f>
        <v>0</v>
      </c>
      <c r="H76" s="1">
        <f>IF(OR(F76="",COUNTIFS(Checks!$C$7:$C$1200,F76)&lt;&gt;1),0,IF(ISNUMBER(SEARCH(CHAR(34)&amp;INDEX(Checks!$D$7:$D$1200,MATCH(F76,Checks!$C$7:$C$1200,0))&amp;CHAR(34),Releases!G9)),1,0))</f>
        <v>0</v>
      </c>
    </row>
    <row r="77" spans="1:8" ht="38.1" customHeight="1" x14ac:dyDescent="0.2">
      <c r="A77" s="1" t="str">
        <f>IF(Releases!C9="","",Releases!C9)</f>
        <v/>
      </c>
      <c r="B77" s="1">
        <v>12</v>
      </c>
      <c r="C77" s="1" t="str">
        <f>IF(A77="","",TRIM(MID(SUBSTITUTE(SUBSTITUTE(SUBSTITUTE(SUBSTITUTE(Releases!G9,"[",""),"]",""),CHAR(34),""),",",REPT(" ",256)),(12-1)*256+1,256)))</f>
        <v/>
      </c>
      <c r="D77" s="1">
        <f>IF(C77="",0,COUNTIFS('Record Revisions'!$C$7:$C$1200,C77))</f>
        <v>0</v>
      </c>
      <c r="E77" s="1">
        <f>IF(C77="",0,COUNTIFS(Dependencies!$E$7:$E$1200,C77,Dependencies!$I$7:$I$1200,"&lt;&gt;CURRENT"))</f>
        <v>0</v>
      </c>
      <c r="F77" s="1" t="str">
        <f>IF(A77="","",TRIM(MID(SUBSTITUTE(SUBSTITUTE(SUBSTITUTE(SUBSTITUTE(Releases!I9,"[",""),"]",""),CHAR(34),""),",",REPT(" ",256)),(12-1)*256+1,256)))</f>
        <v/>
      </c>
      <c r="G77" s="1">
        <f>IF(F77="",0,IF(COUNTIFS(Checks!$C$7:$C$1200,F77)&lt;&gt;1,0,COUNTIFS(Checks!$C$7:$C$1200,F77,Checks!$H$7:$H$1200,"PASS")+COUNTIFS(Checks!$C$7:$C$1200,F77,Checks!$H$7:$H$1200,"NOT APPLICABLE",Checks!$J$7:$J$1200,"&lt;&gt;")))</f>
        <v>0</v>
      </c>
      <c r="H77" s="1">
        <f>IF(OR(F77="",COUNTIFS(Checks!$C$7:$C$1200,F77)&lt;&gt;1),0,IF(ISNUMBER(SEARCH(CHAR(34)&amp;INDEX(Checks!$D$7:$D$1200,MATCH(F77,Checks!$C$7:$C$1200,0))&amp;CHAR(34),Releases!G9)),1,0))</f>
        <v>0</v>
      </c>
    </row>
    <row r="78" spans="1:8" ht="38.1" customHeight="1" x14ac:dyDescent="0.2">
      <c r="A78" s="1" t="str">
        <f>IF(Releases!C9="","",Releases!C9)</f>
        <v/>
      </c>
      <c r="B78" s="1">
        <v>13</v>
      </c>
      <c r="C78" s="1" t="str">
        <f>IF(A78="","",TRIM(MID(SUBSTITUTE(SUBSTITUTE(SUBSTITUTE(SUBSTITUTE(Releases!G9,"[",""),"]",""),CHAR(34),""),",",REPT(" ",256)),(13-1)*256+1,256)))</f>
        <v/>
      </c>
      <c r="D78" s="1">
        <f>IF(C78="",0,COUNTIFS('Record Revisions'!$C$7:$C$1200,C78))</f>
        <v>0</v>
      </c>
      <c r="E78" s="1">
        <f>IF(C78="",0,COUNTIFS(Dependencies!$E$7:$E$1200,C78,Dependencies!$I$7:$I$1200,"&lt;&gt;CURRENT"))</f>
        <v>0</v>
      </c>
      <c r="F78" s="1" t="str">
        <f>IF(A78="","",TRIM(MID(SUBSTITUTE(SUBSTITUTE(SUBSTITUTE(SUBSTITUTE(Releases!I9,"[",""),"]",""),CHAR(34),""),",",REPT(" ",256)),(13-1)*256+1,256)))</f>
        <v/>
      </c>
      <c r="G78" s="1">
        <f>IF(F78="",0,IF(COUNTIFS(Checks!$C$7:$C$1200,F78)&lt;&gt;1,0,COUNTIFS(Checks!$C$7:$C$1200,F78,Checks!$H$7:$H$1200,"PASS")+COUNTIFS(Checks!$C$7:$C$1200,F78,Checks!$H$7:$H$1200,"NOT APPLICABLE",Checks!$J$7:$J$1200,"&lt;&gt;")))</f>
        <v>0</v>
      </c>
      <c r="H78" s="1">
        <f>IF(OR(F78="",COUNTIFS(Checks!$C$7:$C$1200,F78)&lt;&gt;1),0,IF(ISNUMBER(SEARCH(CHAR(34)&amp;INDEX(Checks!$D$7:$D$1200,MATCH(F78,Checks!$C$7:$C$1200,0))&amp;CHAR(34),Releases!G9)),1,0))</f>
        <v>0</v>
      </c>
    </row>
    <row r="79" spans="1:8" ht="38.1" customHeight="1" x14ac:dyDescent="0.2">
      <c r="A79" s="1" t="str">
        <f>IF(Releases!C9="","",Releases!C9)</f>
        <v/>
      </c>
      <c r="B79" s="1">
        <v>14</v>
      </c>
      <c r="C79" s="1" t="str">
        <f>IF(A79="","",TRIM(MID(SUBSTITUTE(SUBSTITUTE(SUBSTITUTE(SUBSTITUTE(Releases!G9,"[",""),"]",""),CHAR(34),""),",",REPT(" ",256)),(14-1)*256+1,256)))</f>
        <v/>
      </c>
      <c r="D79" s="1">
        <f>IF(C79="",0,COUNTIFS('Record Revisions'!$C$7:$C$1200,C79))</f>
        <v>0</v>
      </c>
      <c r="E79" s="1">
        <f>IF(C79="",0,COUNTIFS(Dependencies!$E$7:$E$1200,C79,Dependencies!$I$7:$I$1200,"&lt;&gt;CURRENT"))</f>
        <v>0</v>
      </c>
      <c r="F79" s="1" t="str">
        <f>IF(A79="","",TRIM(MID(SUBSTITUTE(SUBSTITUTE(SUBSTITUTE(SUBSTITUTE(Releases!I9,"[",""),"]",""),CHAR(34),""),",",REPT(" ",256)),(14-1)*256+1,256)))</f>
        <v/>
      </c>
      <c r="G79" s="1">
        <f>IF(F79="",0,IF(COUNTIFS(Checks!$C$7:$C$1200,F79)&lt;&gt;1,0,COUNTIFS(Checks!$C$7:$C$1200,F79,Checks!$H$7:$H$1200,"PASS")+COUNTIFS(Checks!$C$7:$C$1200,F79,Checks!$H$7:$H$1200,"NOT APPLICABLE",Checks!$J$7:$J$1200,"&lt;&gt;")))</f>
        <v>0</v>
      </c>
      <c r="H79" s="1">
        <f>IF(OR(F79="",COUNTIFS(Checks!$C$7:$C$1200,F79)&lt;&gt;1),0,IF(ISNUMBER(SEARCH(CHAR(34)&amp;INDEX(Checks!$D$7:$D$1200,MATCH(F79,Checks!$C$7:$C$1200,0))&amp;CHAR(34),Releases!G9)),1,0))</f>
        <v>0</v>
      </c>
    </row>
    <row r="80" spans="1:8" ht="38.1" customHeight="1" x14ac:dyDescent="0.2">
      <c r="A80" s="1" t="str">
        <f>IF(Releases!C9="","",Releases!C9)</f>
        <v/>
      </c>
      <c r="B80" s="1">
        <v>15</v>
      </c>
      <c r="C80" s="1" t="str">
        <f>IF(A80="","",TRIM(MID(SUBSTITUTE(SUBSTITUTE(SUBSTITUTE(SUBSTITUTE(Releases!G9,"[",""),"]",""),CHAR(34),""),",",REPT(" ",256)),(15-1)*256+1,256)))</f>
        <v/>
      </c>
      <c r="D80" s="1">
        <f>IF(C80="",0,COUNTIFS('Record Revisions'!$C$7:$C$1200,C80))</f>
        <v>0</v>
      </c>
      <c r="E80" s="1">
        <f>IF(C80="",0,COUNTIFS(Dependencies!$E$7:$E$1200,C80,Dependencies!$I$7:$I$1200,"&lt;&gt;CURRENT"))</f>
        <v>0</v>
      </c>
      <c r="F80" s="1" t="str">
        <f>IF(A80="","",TRIM(MID(SUBSTITUTE(SUBSTITUTE(SUBSTITUTE(SUBSTITUTE(Releases!I9,"[",""),"]",""),CHAR(34),""),",",REPT(" ",256)),(15-1)*256+1,256)))</f>
        <v/>
      </c>
      <c r="G80" s="1">
        <f>IF(F80="",0,IF(COUNTIFS(Checks!$C$7:$C$1200,F80)&lt;&gt;1,0,COUNTIFS(Checks!$C$7:$C$1200,F80,Checks!$H$7:$H$1200,"PASS")+COUNTIFS(Checks!$C$7:$C$1200,F80,Checks!$H$7:$H$1200,"NOT APPLICABLE",Checks!$J$7:$J$1200,"&lt;&gt;")))</f>
        <v>0</v>
      </c>
      <c r="H80" s="1">
        <f>IF(OR(F80="",COUNTIFS(Checks!$C$7:$C$1200,F80)&lt;&gt;1),0,IF(ISNUMBER(SEARCH(CHAR(34)&amp;INDEX(Checks!$D$7:$D$1200,MATCH(F80,Checks!$C$7:$C$1200,0))&amp;CHAR(34),Releases!G9)),1,0))</f>
        <v>0</v>
      </c>
    </row>
    <row r="81" spans="1:8" ht="38.1" customHeight="1" x14ac:dyDescent="0.2">
      <c r="A81" s="1" t="str">
        <f>IF(Releases!C9="","",Releases!C9)</f>
        <v/>
      </c>
      <c r="B81" s="1">
        <v>16</v>
      </c>
      <c r="C81" s="1" t="str">
        <f>IF(A81="","",TRIM(MID(SUBSTITUTE(SUBSTITUTE(SUBSTITUTE(SUBSTITUTE(Releases!G9,"[",""),"]",""),CHAR(34),""),",",REPT(" ",256)),(16-1)*256+1,256)))</f>
        <v/>
      </c>
      <c r="D81" s="1">
        <f>IF(C81="",0,COUNTIFS('Record Revisions'!$C$7:$C$1200,C81))</f>
        <v>0</v>
      </c>
      <c r="E81" s="1">
        <f>IF(C81="",0,COUNTIFS(Dependencies!$E$7:$E$1200,C81,Dependencies!$I$7:$I$1200,"&lt;&gt;CURRENT"))</f>
        <v>0</v>
      </c>
      <c r="F81" s="1" t="str">
        <f>IF(A81="","",TRIM(MID(SUBSTITUTE(SUBSTITUTE(SUBSTITUTE(SUBSTITUTE(Releases!I9,"[",""),"]",""),CHAR(34),""),",",REPT(" ",256)),(16-1)*256+1,256)))</f>
        <v/>
      </c>
      <c r="G81" s="1">
        <f>IF(F81="",0,IF(COUNTIFS(Checks!$C$7:$C$1200,F81)&lt;&gt;1,0,COUNTIFS(Checks!$C$7:$C$1200,F81,Checks!$H$7:$H$1200,"PASS")+COUNTIFS(Checks!$C$7:$C$1200,F81,Checks!$H$7:$H$1200,"NOT APPLICABLE",Checks!$J$7:$J$1200,"&lt;&gt;")))</f>
        <v>0</v>
      </c>
      <c r="H81" s="1">
        <f>IF(OR(F81="",COUNTIFS(Checks!$C$7:$C$1200,F81)&lt;&gt;1),0,IF(ISNUMBER(SEARCH(CHAR(34)&amp;INDEX(Checks!$D$7:$D$1200,MATCH(F81,Checks!$C$7:$C$1200,0))&amp;CHAR(34),Releases!G9)),1,0))</f>
        <v>0</v>
      </c>
    </row>
    <row r="82" spans="1:8" ht="38.1" customHeight="1" x14ac:dyDescent="0.2">
      <c r="A82" s="1" t="str">
        <f>IF(Releases!C9="","",Releases!C9)</f>
        <v/>
      </c>
      <c r="B82" s="1">
        <v>17</v>
      </c>
      <c r="C82" s="1" t="str">
        <f>IF(A82="","",TRIM(MID(SUBSTITUTE(SUBSTITUTE(SUBSTITUTE(SUBSTITUTE(Releases!G9,"[",""),"]",""),CHAR(34),""),",",REPT(" ",256)),(17-1)*256+1,256)))</f>
        <v/>
      </c>
      <c r="D82" s="1">
        <f>IF(C82="",0,COUNTIFS('Record Revisions'!$C$7:$C$1200,C82))</f>
        <v>0</v>
      </c>
      <c r="E82" s="1">
        <f>IF(C82="",0,COUNTIFS(Dependencies!$E$7:$E$1200,C82,Dependencies!$I$7:$I$1200,"&lt;&gt;CURRENT"))</f>
        <v>0</v>
      </c>
      <c r="F82" s="1" t="str">
        <f>IF(A82="","",TRIM(MID(SUBSTITUTE(SUBSTITUTE(SUBSTITUTE(SUBSTITUTE(Releases!I9,"[",""),"]",""),CHAR(34),""),",",REPT(" ",256)),(17-1)*256+1,256)))</f>
        <v/>
      </c>
      <c r="G82" s="1">
        <f>IF(F82="",0,IF(COUNTIFS(Checks!$C$7:$C$1200,F82)&lt;&gt;1,0,COUNTIFS(Checks!$C$7:$C$1200,F82,Checks!$H$7:$H$1200,"PASS")+COUNTIFS(Checks!$C$7:$C$1200,F82,Checks!$H$7:$H$1200,"NOT APPLICABLE",Checks!$J$7:$J$1200,"&lt;&gt;")))</f>
        <v>0</v>
      </c>
      <c r="H82" s="1">
        <f>IF(OR(F82="",COUNTIFS(Checks!$C$7:$C$1200,F82)&lt;&gt;1),0,IF(ISNUMBER(SEARCH(CHAR(34)&amp;INDEX(Checks!$D$7:$D$1200,MATCH(F82,Checks!$C$7:$C$1200,0))&amp;CHAR(34),Releases!G9)),1,0))</f>
        <v>0</v>
      </c>
    </row>
    <row r="83" spans="1:8" ht="38.1" customHeight="1" x14ac:dyDescent="0.2">
      <c r="A83" s="1" t="str">
        <f>IF(Releases!C9="","",Releases!C9)</f>
        <v/>
      </c>
      <c r="B83" s="1">
        <v>18</v>
      </c>
      <c r="C83" s="1" t="str">
        <f>IF(A83="","",TRIM(MID(SUBSTITUTE(SUBSTITUTE(SUBSTITUTE(SUBSTITUTE(Releases!G9,"[",""),"]",""),CHAR(34),""),",",REPT(" ",256)),(18-1)*256+1,256)))</f>
        <v/>
      </c>
      <c r="D83" s="1">
        <f>IF(C83="",0,COUNTIFS('Record Revisions'!$C$7:$C$1200,C83))</f>
        <v>0</v>
      </c>
      <c r="E83" s="1">
        <f>IF(C83="",0,COUNTIFS(Dependencies!$E$7:$E$1200,C83,Dependencies!$I$7:$I$1200,"&lt;&gt;CURRENT"))</f>
        <v>0</v>
      </c>
      <c r="F83" s="1" t="str">
        <f>IF(A83="","",TRIM(MID(SUBSTITUTE(SUBSTITUTE(SUBSTITUTE(SUBSTITUTE(Releases!I9,"[",""),"]",""),CHAR(34),""),",",REPT(" ",256)),(18-1)*256+1,256)))</f>
        <v/>
      </c>
      <c r="G83" s="1">
        <f>IF(F83="",0,IF(COUNTIFS(Checks!$C$7:$C$1200,F83)&lt;&gt;1,0,COUNTIFS(Checks!$C$7:$C$1200,F83,Checks!$H$7:$H$1200,"PASS")+COUNTIFS(Checks!$C$7:$C$1200,F83,Checks!$H$7:$H$1200,"NOT APPLICABLE",Checks!$J$7:$J$1200,"&lt;&gt;")))</f>
        <v>0</v>
      </c>
      <c r="H83" s="1">
        <f>IF(OR(F83="",COUNTIFS(Checks!$C$7:$C$1200,F83)&lt;&gt;1),0,IF(ISNUMBER(SEARCH(CHAR(34)&amp;INDEX(Checks!$D$7:$D$1200,MATCH(F83,Checks!$C$7:$C$1200,0))&amp;CHAR(34),Releases!G9)),1,0))</f>
        <v>0</v>
      </c>
    </row>
    <row r="84" spans="1:8" ht="38.1" customHeight="1" x14ac:dyDescent="0.2">
      <c r="A84" s="1" t="str">
        <f>IF(Releases!C9="","",Releases!C9)</f>
        <v/>
      </c>
      <c r="B84" s="1">
        <v>19</v>
      </c>
      <c r="C84" s="1" t="str">
        <f>IF(A84="","",TRIM(MID(SUBSTITUTE(SUBSTITUTE(SUBSTITUTE(SUBSTITUTE(Releases!G9,"[",""),"]",""),CHAR(34),""),",",REPT(" ",256)),(19-1)*256+1,256)))</f>
        <v/>
      </c>
      <c r="D84" s="1">
        <f>IF(C84="",0,COUNTIFS('Record Revisions'!$C$7:$C$1200,C84))</f>
        <v>0</v>
      </c>
      <c r="E84" s="1">
        <f>IF(C84="",0,COUNTIFS(Dependencies!$E$7:$E$1200,C84,Dependencies!$I$7:$I$1200,"&lt;&gt;CURRENT"))</f>
        <v>0</v>
      </c>
      <c r="F84" s="1" t="str">
        <f>IF(A84="","",TRIM(MID(SUBSTITUTE(SUBSTITUTE(SUBSTITUTE(SUBSTITUTE(Releases!I9,"[",""),"]",""),CHAR(34),""),",",REPT(" ",256)),(19-1)*256+1,256)))</f>
        <v/>
      </c>
      <c r="G84" s="1">
        <f>IF(F84="",0,IF(COUNTIFS(Checks!$C$7:$C$1200,F84)&lt;&gt;1,0,COUNTIFS(Checks!$C$7:$C$1200,F84,Checks!$H$7:$H$1200,"PASS")+COUNTIFS(Checks!$C$7:$C$1200,F84,Checks!$H$7:$H$1200,"NOT APPLICABLE",Checks!$J$7:$J$1200,"&lt;&gt;")))</f>
        <v>0</v>
      </c>
      <c r="H84" s="1">
        <f>IF(OR(F84="",COUNTIFS(Checks!$C$7:$C$1200,F84)&lt;&gt;1),0,IF(ISNUMBER(SEARCH(CHAR(34)&amp;INDEX(Checks!$D$7:$D$1200,MATCH(F84,Checks!$C$7:$C$1200,0))&amp;CHAR(34),Releases!G9)),1,0))</f>
        <v>0</v>
      </c>
    </row>
    <row r="85" spans="1:8" ht="38.1" customHeight="1" x14ac:dyDescent="0.2">
      <c r="A85" s="1" t="str">
        <f>IF(Releases!C9="","",Releases!C9)</f>
        <v/>
      </c>
      <c r="B85" s="1">
        <v>20</v>
      </c>
      <c r="C85" s="1" t="str">
        <f>IF(A85="","",TRIM(MID(SUBSTITUTE(SUBSTITUTE(SUBSTITUTE(SUBSTITUTE(Releases!G9,"[",""),"]",""),CHAR(34),""),",",REPT(" ",256)),(20-1)*256+1,256)))</f>
        <v/>
      </c>
      <c r="D85" s="1">
        <f>IF(C85="",0,COUNTIFS('Record Revisions'!$C$7:$C$1200,C85))</f>
        <v>0</v>
      </c>
      <c r="E85" s="1">
        <f>IF(C85="",0,COUNTIFS(Dependencies!$E$7:$E$1200,C85,Dependencies!$I$7:$I$1200,"&lt;&gt;CURRENT"))</f>
        <v>0</v>
      </c>
      <c r="F85" s="1" t="str">
        <f>IF(A85="","",TRIM(MID(SUBSTITUTE(SUBSTITUTE(SUBSTITUTE(SUBSTITUTE(Releases!I9,"[",""),"]",""),CHAR(34),""),",",REPT(" ",256)),(20-1)*256+1,256)))</f>
        <v/>
      </c>
      <c r="G85" s="1">
        <f>IF(F85="",0,IF(COUNTIFS(Checks!$C$7:$C$1200,F85)&lt;&gt;1,0,COUNTIFS(Checks!$C$7:$C$1200,F85,Checks!$H$7:$H$1200,"PASS")+COUNTIFS(Checks!$C$7:$C$1200,F85,Checks!$H$7:$H$1200,"NOT APPLICABLE",Checks!$J$7:$J$1200,"&lt;&gt;")))</f>
        <v>0</v>
      </c>
      <c r="H85" s="1">
        <f>IF(OR(F85="",COUNTIFS(Checks!$C$7:$C$1200,F85)&lt;&gt;1),0,IF(ISNUMBER(SEARCH(CHAR(34)&amp;INDEX(Checks!$D$7:$D$1200,MATCH(F85,Checks!$C$7:$C$1200,0))&amp;CHAR(34),Releases!G9)),1,0))</f>
        <v>0</v>
      </c>
    </row>
    <row r="86" spans="1:8" ht="38.1" customHeight="1" x14ac:dyDescent="0.2">
      <c r="A86" s="1" t="str">
        <f>IF(Releases!C9="","",Releases!C9)</f>
        <v/>
      </c>
      <c r="B86" s="1">
        <v>21</v>
      </c>
      <c r="C86" s="1" t="str">
        <f>IF(A86="","",TRIM(MID(SUBSTITUTE(SUBSTITUTE(SUBSTITUTE(SUBSTITUTE(Releases!G9,"[",""),"]",""),CHAR(34),""),",",REPT(" ",256)),(21-1)*256+1,256)))</f>
        <v/>
      </c>
      <c r="D86" s="1">
        <f>IF(C86="",0,COUNTIFS('Record Revisions'!$C$7:$C$1200,C86))</f>
        <v>0</v>
      </c>
      <c r="E86" s="1">
        <f>IF(C86="",0,COUNTIFS(Dependencies!$E$7:$E$1200,C86,Dependencies!$I$7:$I$1200,"&lt;&gt;CURRENT"))</f>
        <v>0</v>
      </c>
      <c r="F86" s="1" t="str">
        <f>IF(A86="","",TRIM(MID(SUBSTITUTE(SUBSTITUTE(SUBSTITUTE(SUBSTITUTE(Releases!I9,"[",""),"]",""),CHAR(34),""),",",REPT(" ",256)),(21-1)*256+1,256)))</f>
        <v/>
      </c>
      <c r="G86" s="1">
        <f>IF(F86="",0,IF(COUNTIFS(Checks!$C$7:$C$1200,F86)&lt;&gt;1,0,COUNTIFS(Checks!$C$7:$C$1200,F86,Checks!$H$7:$H$1200,"PASS")+COUNTIFS(Checks!$C$7:$C$1200,F86,Checks!$H$7:$H$1200,"NOT APPLICABLE",Checks!$J$7:$J$1200,"&lt;&gt;")))</f>
        <v>0</v>
      </c>
      <c r="H86" s="1">
        <f>IF(OR(F86="",COUNTIFS(Checks!$C$7:$C$1200,F86)&lt;&gt;1),0,IF(ISNUMBER(SEARCH(CHAR(34)&amp;INDEX(Checks!$D$7:$D$1200,MATCH(F86,Checks!$C$7:$C$1200,0))&amp;CHAR(34),Releases!G9)),1,0))</f>
        <v>0</v>
      </c>
    </row>
    <row r="87" spans="1:8" ht="38.1" customHeight="1" x14ac:dyDescent="0.2">
      <c r="A87" s="1" t="str">
        <f>IF(Releases!C9="","",Releases!C9)</f>
        <v/>
      </c>
      <c r="B87" s="1">
        <v>22</v>
      </c>
      <c r="C87" s="1" t="str">
        <f>IF(A87="","",TRIM(MID(SUBSTITUTE(SUBSTITUTE(SUBSTITUTE(SUBSTITUTE(Releases!G9,"[",""),"]",""),CHAR(34),""),",",REPT(" ",256)),(22-1)*256+1,256)))</f>
        <v/>
      </c>
      <c r="D87" s="1">
        <f>IF(C87="",0,COUNTIFS('Record Revisions'!$C$7:$C$1200,C87))</f>
        <v>0</v>
      </c>
      <c r="E87" s="1">
        <f>IF(C87="",0,COUNTIFS(Dependencies!$E$7:$E$1200,C87,Dependencies!$I$7:$I$1200,"&lt;&gt;CURRENT"))</f>
        <v>0</v>
      </c>
      <c r="F87" s="1" t="str">
        <f>IF(A87="","",TRIM(MID(SUBSTITUTE(SUBSTITUTE(SUBSTITUTE(SUBSTITUTE(Releases!I9,"[",""),"]",""),CHAR(34),""),",",REPT(" ",256)),(22-1)*256+1,256)))</f>
        <v/>
      </c>
      <c r="G87" s="1">
        <f>IF(F87="",0,IF(COUNTIFS(Checks!$C$7:$C$1200,F87)&lt;&gt;1,0,COUNTIFS(Checks!$C$7:$C$1200,F87,Checks!$H$7:$H$1200,"PASS")+COUNTIFS(Checks!$C$7:$C$1200,F87,Checks!$H$7:$H$1200,"NOT APPLICABLE",Checks!$J$7:$J$1200,"&lt;&gt;")))</f>
        <v>0</v>
      </c>
      <c r="H87" s="1">
        <f>IF(OR(F87="",COUNTIFS(Checks!$C$7:$C$1200,F87)&lt;&gt;1),0,IF(ISNUMBER(SEARCH(CHAR(34)&amp;INDEX(Checks!$D$7:$D$1200,MATCH(F87,Checks!$C$7:$C$1200,0))&amp;CHAR(34),Releases!G9)),1,0))</f>
        <v>0</v>
      </c>
    </row>
    <row r="88" spans="1:8" ht="38.1" customHeight="1" x14ac:dyDescent="0.2">
      <c r="A88" s="1" t="str">
        <f>IF(Releases!C9="","",Releases!C9)</f>
        <v/>
      </c>
      <c r="B88" s="1">
        <v>23</v>
      </c>
      <c r="C88" s="1" t="str">
        <f>IF(A88="","",TRIM(MID(SUBSTITUTE(SUBSTITUTE(SUBSTITUTE(SUBSTITUTE(Releases!G9,"[",""),"]",""),CHAR(34),""),",",REPT(" ",256)),(23-1)*256+1,256)))</f>
        <v/>
      </c>
      <c r="D88" s="1">
        <f>IF(C88="",0,COUNTIFS('Record Revisions'!$C$7:$C$1200,C88))</f>
        <v>0</v>
      </c>
      <c r="E88" s="1">
        <f>IF(C88="",0,COUNTIFS(Dependencies!$E$7:$E$1200,C88,Dependencies!$I$7:$I$1200,"&lt;&gt;CURRENT"))</f>
        <v>0</v>
      </c>
      <c r="F88" s="1" t="str">
        <f>IF(A88="","",TRIM(MID(SUBSTITUTE(SUBSTITUTE(SUBSTITUTE(SUBSTITUTE(Releases!I9,"[",""),"]",""),CHAR(34),""),",",REPT(" ",256)),(23-1)*256+1,256)))</f>
        <v/>
      </c>
      <c r="G88" s="1">
        <f>IF(F88="",0,IF(COUNTIFS(Checks!$C$7:$C$1200,F88)&lt;&gt;1,0,COUNTIFS(Checks!$C$7:$C$1200,F88,Checks!$H$7:$H$1200,"PASS")+COUNTIFS(Checks!$C$7:$C$1200,F88,Checks!$H$7:$H$1200,"NOT APPLICABLE",Checks!$J$7:$J$1200,"&lt;&gt;")))</f>
        <v>0</v>
      </c>
      <c r="H88" s="1">
        <f>IF(OR(F88="",COUNTIFS(Checks!$C$7:$C$1200,F88)&lt;&gt;1),0,IF(ISNUMBER(SEARCH(CHAR(34)&amp;INDEX(Checks!$D$7:$D$1200,MATCH(F88,Checks!$C$7:$C$1200,0))&amp;CHAR(34),Releases!G9)),1,0))</f>
        <v>0</v>
      </c>
    </row>
    <row r="89" spans="1:8" ht="38.1" customHeight="1" x14ac:dyDescent="0.2">
      <c r="A89" s="1" t="str">
        <f>IF(Releases!C9="","",Releases!C9)</f>
        <v/>
      </c>
      <c r="B89" s="1">
        <v>24</v>
      </c>
      <c r="C89" s="1" t="str">
        <f>IF(A89="","",TRIM(MID(SUBSTITUTE(SUBSTITUTE(SUBSTITUTE(SUBSTITUTE(Releases!G9,"[",""),"]",""),CHAR(34),""),",",REPT(" ",256)),(24-1)*256+1,256)))</f>
        <v/>
      </c>
      <c r="D89" s="1">
        <f>IF(C89="",0,COUNTIFS('Record Revisions'!$C$7:$C$1200,C89))</f>
        <v>0</v>
      </c>
      <c r="E89" s="1">
        <f>IF(C89="",0,COUNTIFS(Dependencies!$E$7:$E$1200,C89,Dependencies!$I$7:$I$1200,"&lt;&gt;CURRENT"))</f>
        <v>0</v>
      </c>
      <c r="F89" s="1" t="str">
        <f>IF(A89="","",TRIM(MID(SUBSTITUTE(SUBSTITUTE(SUBSTITUTE(SUBSTITUTE(Releases!I9,"[",""),"]",""),CHAR(34),""),",",REPT(" ",256)),(24-1)*256+1,256)))</f>
        <v/>
      </c>
      <c r="G89" s="1">
        <f>IF(F89="",0,IF(COUNTIFS(Checks!$C$7:$C$1200,F89)&lt;&gt;1,0,COUNTIFS(Checks!$C$7:$C$1200,F89,Checks!$H$7:$H$1200,"PASS")+COUNTIFS(Checks!$C$7:$C$1200,F89,Checks!$H$7:$H$1200,"NOT APPLICABLE",Checks!$J$7:$J$1200,"&lt;&gt;")))</f>
        <v>0</v>
      </c>
      <c r="H89" s="1">
        <f>IF(OR(F89="",COUNTIFS(Checks!$C$7:$C$1200,F89)&lt;&gt;1),0,IF(ISNUMBER(SEARCH(CHAR(34)&amp;INDEX(Checks!$D$7:$D$1200,MATCH(F89,Checks!$C$7:$C$1200,0))&amp;CHAR(34),Releases!G9)),1,0))</f>
        <v>0</v>
      </c>
    </row>
    <row r="90" spans="1:8" ht="38.1" customHeight="1" x14ac:dyDescent="0.2">
      <c r="A90" s="1" t="str">
        <f>IF(Releases!C9="","",Releases!C9)</f>
        <v/>
      </c>
      <c r="B90" s="1">
        <v>25</v>
      </c>
      <c r="C90" s="1" t="str">
        <f>IF(A90="","",TRIM(MID(SUBSTITUTE(SUBSTITUTE(SUBSTITUTE(SUBSTITUTE(Releases!G9,"[",""),"]",""),CHAR(34),""),",",REPT(" ",256)),(25-1)*256+1,256)))</f>
        <v/>
      </c>
      <c r="D90" s="1">
        <f>IF(C90="",0,COUNTIFS('Record Revisions'!$C$7:$C$1200,C90))</f>
        <v>0</v>
      </c>
      <c r="E90" s="1">
        <f>IF(C90="",0,COUNTIFS(Dependencies!$E$7:$E$1200,C90,Dependencies!$I$7:$I$1200,"&lt;&gt;CURRENT"))</f>
        <v>0</v>
      </c>
      <c r="F90" s="1" t="str">
        <f>IF(A90="","",TRIM(MID(SUBSTITUTE(SUBSTITUTE(SUBSTITUTE(SUBSTITUTE(Releases!I9,"[",""),"]",""),CHAR(34),""),",",REPT(" ",256)),(25-1)*256+1,256)))</f>
        <v/>
      </c>
      <c r="G90" s="1">
        <f>IF(F90="",0,IF(COUNTIFS(Checks!$C$7:$C$1200,F90)&lt;&gt;1,0,COUNTIFS(Checks!$C$7:$C$1200,F90,Checks!$H$7:$H$1200,"PASS")+COUNTIFS(Checks!$C$7:$C$1200,F90,Checks!$H$7:$H$1200,"NOT APPLICABLE",Checks!$J$7:$J$1200,"&lt;&gt;")))</f>
        <v>0</v>
      </c>
      <c r="H90" s="1">
        <f>IF(OR(F90="",COUNTIFS(Checks!$C$7:$C$1200,F90)&lt;&gt;1),0,IF(ISNUMBER(SEARCH(CHAR(34)&amp;INDEX(Checks!$D$7:$D$1200,MATCH(F90,Checks!$C$7:$C$1200,0))&amp;CHAR(34),Releases!G9)),1,0))</f>
        <v>0</v>
      </c>
    </row>
    <row r="91" spans="1:8" ht="38.1" customHeight="1" x14ac:dyDescent="0.2">
      <c r="A91" s="1" t="str">
        <f>IF(Releases!C9="","",Releases!C9)</f>
        <v/>
      </c>
      <c r="B91" s="1">
        <v>26</v>
      </c>
      <c r="C91" s="1" t="str">
        <f>IF(A91="","",TRIM(MID(SUBSTITUTE(SUBSTITUTE(SUBSTITUTE(SUBSTITUTE(Releases!G9,"[",""),"]",""),CHAR(34),""),",",REPT(" ",256)),(26-1)*256+1,256)))</f>
        <v/>
      </c>
      <c r="D91" s="1">
        <f>IF(C91="",0,COUNTIFS('Record Revisions'!$C$7:$C$1200,C91))</f>
        <v>0</v>
      </c>
      <c r="E91" s="1">
        <f>IF(C91="",0,COUNTIFS(Dependencies!$E$7:$E$1200,C91,Dependencies!$I$7:$I$1200,"&lt;&gt;CURRENT"))</f>
        <v>0</v>
      </c>
      <c r="F91" s="1" t="str">
        <f>IF(A91="","",TRIM(MID(SUBSTITUTE(SUBSTITUTE(SUBSTITUTE(SUBSTITUTE(Releases!I9,"[",""),"]",""),CHAR(34),""),",",REPT(" ",256)),(26-1)*256+1,256)))</f>
        <v/>
      </c>
      <c r="G91" s="1">
        <f>IF(F91="",0,IF(COUNTIFS(Checks!$C$7:$C$1200,F91)&lt;&gt;1,0,COUNTIFS(Checks!$C$7:$C$1200,F91,Checks!$H$7:$H$1200,"PASS")+COUNTIFS(Checks!$C$7:$C$1200,F91,Checks!$H$7:$H$1200,"NOT APPLICABLE",Checks!$J$7:$J$1200,"&lt;&gt;")))</f>
        <v>0</v>
      </c>
      <c r="H91" s="1">
        <f>IF(OR(F91="",COUNTIFS(Checks!$C$7:$C$1200,F91)&lt;&gt;1),0,IF(ISNUMBER(SEARCH(CHAR(34)&amp;INDEX(Checks!$D$7:$D$1200,MATCH(F91,Checks!$C$7:$C$1200,0))&amp;CHAR(34),Releases!G9)),1,0))</f>
        <v>0</v>
      </c>
    </row>
    <row r="92" spans="1:8" ht="38.1" customHeight="1" x14ac:dyDescent="0.2">
      <c r="A92" s="1" t="str">
        <f>IF(Releases!C9="","",Releases!C9)</f>
        <v/>
      </c>
      <c r="B92" s="1">
        <v>27</v>
      </c>
      <c r="C92" s="1" t="str">
        <f>IF(A92="","",TRIM(MID(SUBSTITUTE(SUBSTITUTE(SUBSTITUTE(SUBSTITUTE(Releases!G9,"[",""),"]",""),CHAR(34),""),",",REPT(" ",256)),(27-1)*256+1,256)))</f>
        <v/>
      </c>
      <c r="D92" s="1">
        <f>IF(C92="",0,COUNTIFS('Record Revisions'!$C$7:$C$1200,C92))</f>
        <v>0</v>
      </c>
      <c r="E92" s="1">
        <f>IF(C92="",0,COUNTIFS(Dependencies!$E$7:$E$1200,C92,Dependencies!$I$7:$I$1200,"&lt;&gt;CURRENT"))</f>
        <v>0</v>
      </c>
      <c r="F92" s="1" t="str">
        <f>IF(A92="","",TRIM(MID(SUBSTITUTE(SUBSTITUTE(SUBSTITUTE(SUBSTITUTE(Releases!I9,"[",""),"]",""),CHAR(34),""),",",REPT(" ",256)),(27-1)*256+1,256)))</f>
        <v/>
      </c>
      <c r="G92" s="1">
        <f>IF(F92="",0,IF(COUNTIFS(Checks!$C$7:$C$1200,F92)&lt;&gt;1,0,COUNTIFS(Checks!$C$7:$C$1200,F92,Checks!$H$7:$H$1200,"PASS")+COUNTIFS(Checks!$C$7:$C$1200,F92,Checks!$H$7:$H$1200,"NOT APPLICABLE",Checks!$J$7:$J$1200,"&lt;&gt;")))</f>
        <v>0</v>
      </c>
      <c r="H92" s="1">
        <f>IF(OR(F92="",COUNTIFS(Checks!$C$7:$C$1200,F92)&lt;&gt;1),0,IF(ISNUMBER(SEARCH(CHAR(34)&amp;INDEX(Checks!$D$7:$D$1200,MATCH(F92,Checks!$C$7:$C$1200,0))&amp;CHAR(34),Releases!G9)),1,0))</f>
        <v>0</v>
      </c>
    </row>
    <row r="93" spans="1:8" ht="38.1" customHeight="1" x14ac:dyDescent="0.2">
      <c r="A93" s="1" t="str">
        <f>IF(Releases!C9="","",Releases!C9)</f>
        <v/>
      </c>
      <c r="B93" s="1">
        <v>28</v>
      </c>
      <c r="C93" s="1" t="str">
        <f>IF(A93="","",TRIM(MID(SUBSTITUTE(SUBSTITUTE(SUBSTITUTE(SUBSTITUTE(Releases!G9,"[",""),"]",""),CHAR(34),""),",",REPT(" ",256)),(28-1)*256+1,256)))</f>
        <v/>
      </c>
      <c r="D93" s="1">
        <f>IF(C93="",0,COUNTIFS('Record Revisions'!$C$7:$C$1200,C93))</f>
        <v>0</v>
      </c>
      <c r="E93" s="1">
        <f>IF(C93="",0,COUNTIFS(Dependencies!$E$7:$E$1200,C93,Dependencies!$I$7:$I$1200,"&lt;&gt;CURRENT"))</f>
        <v>0</v>
      </c>
      <c r="F93" s="1" t="str">
        <f>IF(A93="","",TRIM(MID(SUBSTITUTE(SUBSTITUTE(SUBSTITUTE(SUBSTITUTE(Releases!I9,"[",""),"]",""),CHAR(34),""),",",REPT(" ",256)),(28-1)*256+1,256)))</f>
        <v/>
      </c>
      <c r="G93" s="1">
        <f>IF(F93="",0,IF(COUNTIFS(Checks!$C$7:$C$1200,F93)&lt;&gt;1,0,COUNTIFS(Checks!$C$7:$C$1200,F93,Checks!$H$7:$H$1200,"PASS")+COUNTIFS(Checks!$C$7:$C$1200,F93,Checks!$H$7:$H$1200,"NOT APPLICABLE",Checks!$J$7:$J$1200,"&lt;&gt;")))</f>
        <v>0</v>
      </c>
      <c r="H93" s="1">
        <f>IF(OR(F93="",COUNTIFS(Checks!$C$7:$C$1200,F93)&lt;&gt;1),0,IF(ISNUMBER(SEARCH(CHAR(34)&amp;INDEX(Checks!$D$7:$D$1200,MATCH(F93,Checks!$C$7:$C$1200,0))&amp;CHAR(34),Releases!G9)),1,0))</f>
        <v>0</v>
      </c>
    </row>
    <row r="94" spans="1:8" ht="38.1" customHeight="1" x14ac:dyDescent="0.2">
      <c r="A94" s="1" t="str">
        <f>IF(Releases!C9="","",Releases!C9)</f>
        <v/>
      </c>
      <c r="B94" s="1">
        <v>29</v>
      </c>
      <c r="C94" s="1" t="str">
        <f>IF(A94="","",TRIM(MID(SUBSTITUTE(SUBSTITUTE(SUBSTITUTE(SUBSTITUTE(Releases!G9,"[",""),"]",""),CHAR(34),""),",",REPT(" ",256)),(29-1)*256+1,256)))</f>
        <v/>
      </c>
      <c r="D94" s="1">
        <f>IF(C94="",0,COUNTIFS('Record Revisions'!$C$7:$C$1200,C94))</f>
        <v>0</v>
      </c>
      <c r="E94" s="1">
        <f>IF(C94="",0,COUNTIFS(Dependencies!$E$7:$E$1200,C94,Dependencies!$I$7:$I$1200,"&lt;&gt;CURRENT"))</f>
        <v>0</v>
      </c>
      <c r="F94" s="1" t="str">
        <f>IF(A94="","",TRIM(MID(SUBSTITUTE(SUBSTITUTE(SUBSTITUTE(SUBSTITUTE(Releases!I9,"[",""),"]",""),CHAR(34),""),",",REPT(" ",256)),(29-1)*256+1,256)))</f>
        <v/>
      </c>
      <c r="G94" s="1">
        <f>IF(F94="",0,IF(COUNTIFS(Checks!$C$7:$C$1200,F94)&lt;&gt;1,0,COUNTIFS(Checks!$C$7:$C$1200,F94,Checks!$H$7:$H$1200,"PASS")+COUNTIFS(Checks!$C$7:$C$1200,F94,Checks!$H$7:$H$1200,"NOT APPLICABLE",Checks!$J$7:$J$1200,"&lt;&gt;")))</f>
        <v>0</v>
      </c>
      <c r="H94" s="1">
        <f>IF(OR(F94="",COUNTIFS(Checks!$C$7:$C$1200,F94)&lt;&gt;1),0,IF(ISNUMBER(SEARCH(CHAR(34)&amp;INDEX(Checks!$D$7:$D$1200,MATCH(F94,Checks!$C$7:$C$1200,0))&amp;CHAR(34),Releases!G9)),1,0))</f>
        <v>0</v>
      </c>
    </row>
    <row r="95" spans="1:8" ht="38.1" customHeight="1" x14ac:dyDescent="0.2">
      <c r="A95" s="1" t="str">
        <f>IF(Releases!C9="","",Releases!C9)</f>
        <v/>
      </c>
      <c r="B95" s="1">
        <v>30</v>
      </c>
      <c r="C95" s="1" t="str">
        <f>IF(A95="","",TRIM(MID(SUBSTITUTE(SUBSTITUTE(SUBSTITUTE(SUBSTITUTE(Releases!G9,"[",""),"]",""),CHAR(34),""),",",REPT(" ",256)),(30-1)*256+1,256)))</f>
        <v/>
      </c>
      <c r="D95" s="1">
        <f>IF(C95="",0,COUNTIFS('Record Revisions'!$C$7:$C$1200,C95))</f>
        <v>0</v>
      </c>
      <c r="E95" s="1">
        <f>IF(C95="",0,COUNTIFS(Dependencies!$E$7:$E$1200,C95,Dependencies!$I$7:$I$1200,"&lt;&gt;CURRENT"))</f>
        <v>0</v>
      </c>
      <c r="F95" s="1" t="str">
        <f>IF(A95="","",TRIM(MID(SUBSTITUTE(SUBSTITUTE(SUBSTITUTE(SUBSTITUTE(Releases!I9,"[",""),"]",""),CHAR(34),""),",",REPT(" ",256)),(30-1)*256+1,256)))</f>
        <v/>
      </c>
      <c r="G95" s="1">
        <f>IF(F95="",0,IF(COUNTIFS(Checks!$C$7:$C$1200,F95)&lt;&gt;1,0,COUNTIFS(Checks!$C$7:$C$1200,F95,Checks!$H$7:$H$1200,"PASS")+COUNTIFS(Checks!$C$7:$C$1200,F95,Checks!$H$7:$H$1200,"NOT APPLICABLE",Checks!$J$7:$J$1200,"&lt;&gt;")))</f>
        <v>0</v>
      </c>
      <c r="H95" s="1">
        <f>IF(OR(F95="",COUNTIFS(Checks!$C$7:$C$1200,F95)&lt;&gt;1),0,IF(ISNUMBER(SEARCH(CHAR(34)&amp;INDEX(Checks!$D$7:$D$1200,MATCH(F95,Checks!$C$7:$C$1200,0))&amp;CHAR(34),Releases!G9)),1,0))</f>
        <v>0</v>
      </c>
    </row>
    <row r="96" spans="1:8" ht="38.1" customHeight="1" x14ac:dyDescent="0.2">
      <c r="A96" s="1" t="str">
        <f>IF(Releases!C9="","",Releases!C9)</f>
        <v/>
      </c>
      <c r="B96" s="1">
        <v>31</v>
      </c>
      <c r="C96" s="1" t="str">
        <f>IF(A96="","",TRIM(MID(SUBSTITUTE(SUBSTITUTE(SUBSTITUTE(SUBSTITUTE(Releases!G9,"[",""),"]",""),CHAR(34),""),",",REPT(" ",256)),(31-1)*256+1,256)))</f>
        <v/>
      </c>
      <c r="D96" s="1">
        <f>IF(C96="",0,COUNTIFS('Record Revisions'!$C$7:$C$1200,C96))</f>
        <v>0</v>
      </c>
      <c r="E96" s="1">
        <f>IF(C96="",0,COUNTIFS(Dependencies!$E$7:$E$1200,C96,Dependencies!$I$7:$I$1200,"&lt;&gt;CURRENT"))</f>
        <v>0</v>
      </c>
      <c r="F96" s="1" t="str">
        <f>IF(A96="","",TRIM(MID(SUBSTITUTE(SUBSTITUTE(SUBSTITUTE(SUBSTITUTE(Releases!I9,"[",""),"]",""),CHAR(34),""),",",REPT(" ",256)),(31-1)*256+1,256)))</f>
        <v/>
      </c>
      <c r="G96" s="1">
        <f>IF(F96="",0,IF(COUNTIFS(Checks!$C$7:$C$1200,F96)&lt;&gt;1,0,COUNTIFS(Checks!$C$7:$C$1200,F96,Checks!$H$7:$H$1200,"PASS")+COUNTIFS(Checks!$C$7:$C$1200,F96,Checks!$H$7:$H$1200,"NOT APPLICABLE",Checks!$J$7:$J$1200,"&lt;&gt;")))</f>
        <v>0</v>
      </c>
      <c r="H96" s="1">
        <f>IF(OR(F96="",COUNTIFS(Checks!$C$7:$C$1200,F96)&lt;&gt;1),0,IF(ISNUMBER(SEARCH(CHAR(34)&amp;INDEX(Checks!$D$7:$D$1200,MATCH(F96,Checks!$C$7:$C$1200,0))&amp;CHAR(34),Releases!G9)),1,0))</f>
        <v>0</v>
      </c>
    </row>
    <row r="97" spans="1:8" ht="38.1" customHeight="1" x14ac:dyDescent="0.2">
      <c r="A97" s="1" t="str">
        <f>IF(Releases!C9="","",Releases!C9)</f>
        <v/>
      </c>
      <c r="B97" s="1">
        <v>32</v>
      </c>
      <c r="C97" s="1" t="str">
        <f>IF(A97="","",TRIM(MID(SUBSTITUTE(SUBSTITUTE(SUBSTITUTE(SUBSTITUTE(Releases!G9,"[",""),"]",""),CHAR(34),""),",",REPT(" ",256)),(32-1)*256+1,256)))</f>
        <v/>
      </c>
      <c r="D97" s="1">
        <f>IF(C97="",0,COUNTIFS('Record Revisions'!$C$7:$C$1200,C97))</f>
        <v>0</v>
      </c>
      <c r="E97" s="1">
        <f>IF(C97="",0,COUNTIFS(Dependencies!$E$7:$E$1200,C97,Dependencies!$I$7:$I$1200,"&lt;&gt;CURRENT"))</f>
        <v>0</v>
      </c>
      <c r="F97" s="1" t="str">
        <f>IF(A97="","",TRIM(MID(SUBSTITUTE(SUBSTITUTE(SUBSTITUTE(SUBSTITUTE(Releases!I9,"[",""),"]",""),CHAR(34),""),",",REPT(" ",256)),(32-1)*256+1,256)))</f>
        <v/>
      </c>
      <c r="G97" s="1">
        <f>IF(F97="",0,IF(COUNTIFS(Checks!$C$7:$C$1200,F97)&lt;&gt;1,0,COUNTIFS(Checks!$C$7:$C$1200,F97,Checks!$H$7:$H$1200,"PASS")+COUNTIFS(Checks!$C$7:$C$1200,F97,Checks!$H$7:$H$1200,"NOT APPLICABLE",Checks!$J$7:$J$1200,"&lt;&gt;")))</f>
        <v>0</v>
      </c>
      <c r="H97" s="1">
        <f>IF(OR(F97="",COUNTIFS(Checks!$C$7:$C$1200,F97)&lt;&gt;1),0,IF(ISNUMBER(SEARCH(CHAR(34)&amp;INDEX(Checks!$D$7:$D$1200,MATCH(F97,Checks!$C$7:$C$1200,0))&amp;CHAR(34),Releases!G9)),1,0))</f>
        <v>0</v>
      </c>
    </row>
  </sheetData>
  <mergeCells count="1">
    <mergeCell ref="J1:L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ScaleCrop>false</ScaleCrop>
  <HeadingPairs>
    <vt:vector size="4" baseType="variant">
      <vt:variant>
        <vt:lpstr>Worksheets</vt:lpstr>
      </vt:variant>
      <vt:variant>
        <vt:i4>37</vt:i4>
      </vt:variant>
      <vt:variant>
        <vt:lpstr>Named Ranges</vt:lpstr>
      </vt:variant>
      <vt:variant>
        <vt:i4>23</vt:i4>
      </vt:variant>
    </vt:vector>
  </HeadingPairs>
  <TitlesOfParts>
    <vt:vector size="60" baseType="lpstr">
      <vt:lpstr>Home</vt:lpstr>
      <vt:lpstr>Reader</vt:lpstr>
      <vt:lpstr>Guide</vt:lpstr>
      <vt:lpstr>Projects</vt:lpstr>
      <vt:lpstr>Pass Definitions</vt:lpstr>
      <vt:lpstr>Pass Runs</vt:lpstr>
      <vt:lpstr>Instructions</vt:lpstr>
      <vt:lpstr>Record Revisions</vt:lpstr>
      <vt:lpstr>Sources</vt:lpstr>
      <vt:lpstr>Content Items</vt:lpstr>
      <vt:lpstr>Figure Contracts</vt:lpstr>
      <vt:lpstr>Asset Requirements</vt:lpstr>
      <vt:lpstr>File Revisions</vt:lpstr>
      <vt:lpstr>Figure Outputs</vt:lpstr>
      <vt:lpstr>Document Placements</vt:lpstr>
      <vt:lpstr>Dependencies</vt:lpstr>
      <vt:lpstr>Checks</vt:lpstr>
      <vt:lpstr>Issues</vt:lpstr>
      <vt:lpstr>Approvals</vt:lpstr>
      <vt:lpstr>Releases</vt:lpstr>
      <vt:lpstr>Table Dictionary</vt:lpstr>
      <vt:lpstr>Field Dictionary</vt:lpstr>
      <vt:lpstr>Source Support</vt:lpstr>
      <vt:lpstr>Figure Coverage</vt:lpstr>
      <vt:lpstr>Figure Requirements</vt:lpstr>
      <vt:lpstr>Requirement Fulfillment</vt:lpstr>
      <vt:lpstr>Run Artifacts</vt:lpstr>
      <vt:lpstr>Document Plans</vt:lpstr>
      <vt:lpstr>Templates</vt:lpstr>
      <vt:lpstr>Template Slots</vt:lpstr>
      <vt:lpstr>Rulesets</vt:lpstr>
      <vt:lpstr>Rules</vt:lpstr>
      <vt:lpstr>Themes</vt:lpstr>
      <vt:lpstr>Assembly Components</vt:lpstr>
      <vt:lpstr>Generation Requests</vt:lpstr>
      <vt:lpstr>Asset Lifecycle</vt:lpstr>
      <vt:lpstr>Release Gate</vt:lpstr>
      <vt:lpstr>og_list_1</vt:lpstr>
      <vt:lpstr>og_list_10</vt:lpstr>
      <vt:lpstr>og_list_11</vt:lpstr>
      <vt:lpstr>og_list_12</vt:lpstr>
      <vt:lpstr>og_list_13</vt:lpstr>
      <vt:lpstr>og_list_14</vt:lpstr>
      <vt:lpstr>og_list_15</vt:lpstr>
      <vt:lpstr>og_list_16</vt:lpstr>
      <vt:lpstr>og_list_17</vt:lpstr>
      <vt:lpstr>og_list_18</vt:lpstr>
      <vt:lpstr>og_list_19</vt:lpstr>
      <vt:lpstr>og_list_2</vt:lpstr>
      <vt:lpstr>og_list_20</vt:lpstr>
      <vt:lpstr>og_list_21</vt:lpstr>
      <vt:lpstr>og_list_22</vt:lpstr>
      <vt:lpstr>og_list_23</vt:lpstr>
      <vt:lpstr>og_list_3</vt:lpstr>
      <vt:lpstr>og_list_4</vt:lpstr>
      <vt:lpstr>og_list_5</vt:lpstr>
      <vt:lpstr>og_list_6</vt:lpstr>
      <vt:lpstr>og_list_7</vt:lpstr>
      <vt:lpstr>og_list_8</vt:lpstr>
      <vt:lpstr>og_list_9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Shane Conrad</dc:creator>
  <dcterms:created xsi:type="dcterms:W3CDTF">2026-09-13T14:38:13Z</dcterms:created>
</cp:coreProperties>
</file>